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hidePivotFieldList="1" defaultThemeVersion="124226"/>
  <bookViews>
    <workbookView xWindow="240" yWindow="105" windowWidth="14805" windowHeight="8010"/>
  </bookViews>
  <sheets>
    <sheet name="FINAL I-IX 2023 " sheetId="7" r:id="rId1"/>
    <sheet name="Sheet1" sheetId="9" r:id="rId2"/>
  </sheets>
  <definedNames>
    <definedName name="_xlnm.Print_Area" localSheetId="0">'FINAL I-IX 2023 '!$A$1:$I$2657</definedName>
  </definedNames>
  <calcPr calcId="144525"/>
</workbook>
</file>

<file path=xl/calcChain.xml><?xml version="1.0" encoding="utf-8"?>
<calcChain xmlns="http://schemas.openxmlformats.org/spreadsheetml/2006/main">
  <c r="F279" i="7" l="1"/>
  <c r="F270" i="7"/>
  <c r="I1081" i="7" l="1"/>
  <c r="I1078" i="7"/>
  <c r="I1083" i="7"/>
  <c r="I1105" i="7"/>
  <c r="I905" i="7"/>
  <c r="F222" i="7" l="1"/>
  <c r="F223" i="7"/>
  <c r="E2362" i="7"/>
  <c r="F2362" i="7"/>
  <c r="D2362" i="7"/>
  <c r="E2360" i="7"/>
  <c r="F2360" i="7"/>
  <c r="D2360" i="7"/>
  <c r="E2359" i="7"/>
  <c r="F2359" i="7"/>
  <c r="D2359" i="7"/>
  <c r="E2358" i="7"/>
  <c r="F2358" i="7"/>
  <c r="D2358" i="7"/>
  <c r="E2363" i="7" l="1"/>
  <c r="G2360" i="7"/>
  <c r="D2363" i="7"/>
  <c r="G2362" i="7"/>
  <c r="H2360" i="7"/>
  <c r="H2358" i="7"/>
  <c r="G2359" i="7"/>
  <c r="G2361" i="7"/>
  <c r="H2362" i="7"/>
  <c r="F2363" i="7"/>
  <c r="H2359" i="7"/>
  <c r="H2361" i="7"/>
  <c r="G2358" i="7"/>
  <c r="H2363" i="7" l="1"/>
  <c r="G2363" i="7"/>
  <c r="I2359" i="7"/>
  <c r="I2360" i="7"/>
  <c r="I2362" i="7"/>
  <c r="I2358" i="7"/>
  <c r="I2361" i="7"/>
  <c r="I2363" i="7" l="1"/>
  <c r="E2032" i="7" l="1"/>
  <c r="F2032" i="7"/>
  <c r="D2032" i="7"/>
  <c r="E2033" i="7"/>
  <c r="F2033" i="7"/>
  <c r="E521" i="7" l="1"/>
  <c r="E519" i="7"/>
  <c r="E508" i="7"/>
  <c r="E510" i="7"/>
  <c r="F1351" i="7"/>
  <c r="I1355" i="7" s="1"/>
  <c r="H1355" i="7"/>
  <c r="G1355" i="7"/>
  <c r="E1342" i="7"/>
  <c r="H1344" i="7"/>
  <c r="G1344" i="7"/>
  <c r="H1322" i="7"/>
  <c r="G1322" i="7"/>
  <c r="F1200" i="7"/>
  <c r="F1198" i="7"/>
  <c r="F1197" i="7"/>
  <c r="F1196" i="7"/>
  <c r="F1160" i="7" l="1"/>
  <c r="F1081" i="7"/>
  <c r="F1080" i="7"/>
  <c r="F1079" i="7"/>
  <c r="F960" i="7" l="1"/>
  <c r="F959" i="7"/>
  <c r="F958" i="7"/>
  <c r="E831" i="7"/>
  <c r="G833" i="7"/>
  <c r="H833" i="7"/>
  <c r="F804" i="7"/>
  <c r="G820" i="7"/>
  <c r="H820" i="7"/>
  <c r="F725" i="7" l="1"/>
  <c r="F723" i="7"/>
  <c r="F722" i="7"/>
  <c r="F721" i="7"/>
  <c r="F640" i="7"/>
  <c r="I636" i="7" s="1"/>
  <c r="G638" i="7"/>
  <c r="H638" i="7"/>
  <c r="G637" i="7"/>
  <c r="H637" i="7"/>
  <c r="G636" i="7"/>
  <c r="H636" i="7"/>
  <c r="G635" i="7"/>
  <c r="H635" i="7"/>
  <c r="G634" i="7"/>
  <c r="H634" i="7"/>
  <c r="G630" i="7"/>
  <c r="H630" i="7"/>
  <c r="F611" i="7"/>
  <c r="F607" i="7"/>
  <c r="I635" i="7" l="1"/>
  <c r="I637" i="7"/>
  <c r="I638" i="7"/>
  <c r="I639" i="7"/>
  <c r="I634" i="7"/>
  <c r="I630" i="7"/>
  <c r="F538" i="7" l="1"/>
  <c r="F537" i="7"/>
  <c r="F536" i="7"/>
  <c r="F535" i="7"/>
  <c r="F524" i="7"/>
  <c r="F523" i="7"/>
  <c r="F521" i="7"/>
  <c r="F520" i="7"/>
  <c r="F519" i="7"/>
  <c r="F518" i="7"/>
  <c r="F516" i="7"/>
  <c r="F515" i="7"/>
  <c r="F514" i="7"/>
  <c r="F512" i="7"/>
  <c r="F511" i="7"/>
  <c r="F510" i="7"/>
  <c r="F509" i="7"/>
  <c r="F508" i="7"/>
  <c r="F506" i="7"/>
  <c r="F505" i="7"/>
  <c r="F504" i="7"/>
  <c r="F503" i="7"/>
  <c r="F502" i="7"/>
  <c r="F501" i="7"/>
  <c r="F500" i="7"/>
  <c r="F498" i="7"/>
  <c r="F484" i="7"/>
  <c r="F278" i="7"/>
  <c r="F365" i="7"/>
  <c r="F362" i="7"/>
  <c r="H277" i="7"/>
  <c r="F260" i="7" l="1"/>
  <c r="E1200" i="7" l="1"/>
  <c r="E1369" i="7" s="1"/>
  <c r="E1197" i="7"/>
  <c r="E1196" i="7"/>
  <c r="E1103" i="7"/>
  <c r="E725" i="7"/>
  <c r="E839" i="7" s="1"/>
  <c r="E611" i="7"/>
  <c r="E607" i="7"/>
  <c r="E537" i="7"/>
  <c r="E512" i="7"/>
  <c r="E511" i="7"/>
  <c r="E484" i="7"/>
  <c r="E483" i="7"/>
  <c r="E446" i="7" l="1"/>
  <c r="E430" i="7"/>
  <c r="E429" i="7"/>
  <c r="E1340" i="7" l="1"/>
  <c r="H1340" i="7" s="1"/>
  <c r="E1338" i="7"/>
  <c r="E1336" i="7"/>
  <c r="E1329" i="7"/>
  <c r="E1328" i="7"/>
  <c r="E1327" i="7"/>
  <c r="E1326" i="7"/>
  <c r="E1319" i="7"/>
  <c r="E1318" i="7"/>
  <c r="E1317" i="7"/>
  <c r="E1316" i="7"/>
  <c r="E1314" i="7"/>
  <c r="E1313" i="7"/>
  <c r="E1312" i="7"/>
  <c r="E1311" i="7"/>
  <c r="G1320" i="7"/>
  <c r="H1320" i="7"/>
  <c r="E1310" i="7" l="1"/>
  <c r="E1278" i="7" l="1"/>
  <c r="E1199" i="7"/>
  <c r="E1368" i="7" s="1"/>
  <c r="E1198" i="7"/>
  <c r="E1367" i="7" s="1"/>
  <c r="E1160" i="7"/>
  <c r="H1096" i="7"/>
  <c r="G1096" i="7"/>
  <c r="G1104" i="7"/>
  <c r="G1103" i="7"/>
  <c r="H1100" i="7"/>
  <c r="G1100" i="7"/>
  <c r="H1094" i="7"/>
  <c r="G1094" i="7"/>
  <c r="F1105" i="7"/>
  <c r="I1104" i="7" s="1"/>
  <c r="D1105" i="7"/>
  <c r="H1103" i="7"/>
  <c r="E1101" i="7"/>
  <c r="E1082" i="7"/>
  <c r="E1104" i="7" s="1"/>
  <c r="H1104" i="7" s="1"/>
  <c r="E1080" i="7"/>
  <c r="E1079" i="7"/>
  <c r="E1078" i="7"/>
  <c r="H1012" i="7"/>
  <c r="G1012" i="7"/>
  <c r="E975" i="7"/>
  <c r="E960" i="7"/>
  <c r="E959" i="7"/>
  <c r="E958" i="7"/>
  <c r="H896" i="7"/>
  <c r="G896" i="7"/>
  <c r="E837" i="7"/>
  <c r="E810" i="7"/>
  <c r="E804" i="7" s="1"/>
  <c r="E803" i="7"/>
  <c r="E802" i="7"/>
  <c r="E774" i="7"/>
  <c r="D752" i="7"/>
  <c r="F752" i="7"/>
  <c r="I763" i="7" s="1"/>
  <c r="H776" i="7"/>
  <c r="G776" i="7"/>
  <c r="E752" i="7"/>
  <c r="H763" i="7"/>
  <c r="G763" i="7"/>
  <c r="H757" i="7"/>
  <c r="G757" i="7"/>
  <c r="E723" i="7"/>
  <c r="E722" i="7"/>
  <c r="E721" i="7"/>
  <c r="H681" i="7"/>
  <c r="G681" i="7"/>
  <c r="E608" i="7"/>
  <c r="I1094" i="7" l="1"/>
  <c r="I1096" i="7"/>
  <c r="I1100" i="7"/>
  <c r="I1103" i="7"/>
  <c r="E506" i="7" l="1"/>
  <c r="E2397" i="7"/>
  <c r="F2397" i="7"/>
  <c r="D2397" i="7"/>
  <c r="D2402" i="7"/>
  <c r="D1351" i="7"/>
  <c r="G1351" i="7" s="1"/>
  <c r="D1339" i="7"/>
  <c r="D1337" i="7"/>
  <c r="D1336" i="7"/>
  <c r="D1321" i="7"/>
  <c r="D1310" i="7" s="1"/>
  <c r="D1280" i="7"/>
  <c r="D1278" i="7"/>
  <c r="D1200" i="7"/>
  <c r="D1198" i="7"/>
  <c r="D1197" i="7"/>
  <c r="D1196" i="7"/>
  <c r="D1080" i="7"/>
  <c r="D1079" i="7"/>
  <c r="D1078" i="7"/>
  <c r="D958" i="7" l="1"/>
  <c r="D808" i="7"/>
  <c r="D804" i="7" s="1"/>
  <c r="D787" i="7"/>
  <c r="D786" i="7"/>
  <c r="D782" i="7"/>
  <c r="D774" i="7" s="1"/>
  <c r="D772" i="7"/>
  <c r="D770" i="7"/>
  <c r="I757" i="7"/>
  <c r="D725" i="7"/>
  <c r="D723" i="7"/>
  <c r="D722" i="7"/>
  <c r="D721" i="7"/>
  <c r="D611" i="7" l="1"/>
  <c r="D609" i="7"/>
  <c r="D608" i="7"/>
  <c r="D607" i="7"/>
  <c r="E538" i="7"/>
  <c r="E536" i="7"/>
  <c r="E535" i="7"/>
  <c r="E524" i="7"/>
  <c r="E523" i="7"/>
  <c r="E520" i="7"/>
  <c r="E518" i="7"/>
  <c r="E516" i="7"/>
  <c r="E515" i="7"/>
  <c r="E514" i="7"/>
  <c r="E509" i="7"/>
  <c r="E505" i="7"/>
  <c r="E504" i="7"/>
  <c r="E503" i="7"/>
  <c r="E502" i="7"/>
  <c r="E501" i="7"/>
  <c r="E500" i="7"/>
  <c r="E498" i="7"/>
  <c r="D538" i="7"/>
  <c r="D537" i="7"/>
  <c r="D536" i="7"/>
  <c r="D535" i="7"/>
  <c r="D524" i="7"/>
  <c r="D523" i="7"/>
  <c r="D520" i="7"/>
  <c r="D519" i="7"/>
  <c r="D518" i="7"/>
  <c r="D516" i="7"/>
  <c r="D515" i="7"/>
  <c r="D514" i="7"/>
  <c r="D512" i="7"/>
  <c r="D511" i="7"/>
  <c r="D510" i="7"/>
  <c r="D509" i="7"/>
  <c r="D508" i="7"/>
  <c r="D506" i="7"/>
  <c r="D505" i="7"/>
  <c r="D504" i="7"/>
  <c r="D503" i="7"/>
  <c r="D502" i="7"/>
  <c r="D501" i="7"/>
  <c r="D500" i="7"/>
  <c r="D498" i="7"/>
  <c r="D484" i="7"/>
  <c r="D458" i="7"/>
  <c r="D343" i="7"/>
  <c r="E324" i="7"/>
  <c r="D371" i="7"/>
  <c r="D365" i="7"/>
  <c r="D362" i="7"/>
  <c r="D331" i="7"/>
  <c r="D304" i="7"/>
  <c r="D279" i="7"/>
  <c r="D270" i="7"/>
  <c r="E213" i="7"/>
  <c r="I215" i="7"/>
  <c r="I214" i="7"/>
  <c r="H215" i="7"/>
  <c r="H214" i="7"/>
  <c r="G215" i="7"/>
  <c r="G214" i="7"/>
  <c r="D613" i="7" l="1"/>
  <c r="F14" i="9" l="1"/>
  <c r="I10" i="9" s="1"/>
  <c r="D14" i="9"/>
  <c r="H12" i="9"/>
  <c r="G12" i="9"/>
  <c r="H11" i="9"/>
  <c r="G11" i="9"/>
  <c r="G10" i="9"/>
  <c r="E10" i="9"/>
  <c r="H10" i="9" s="1"/>
  <c r="H9" i="9"/>
  <c r="G9" i="9"/>
  <c r="H8" i="9"/>
  <c r="G8" i="9"/>
  <c r="I11" i="9" l="1"/>
  <c r="I8" i="9"/>
  <c r="I9" i="9"/>
  <c r="E14" i="9"/>
  <c r="I12" i="9"/>
  <c r="G14" i="9"/>
  <c r="H14" i="9"/>
  <c r="I14" i="9" l="1"/>
  <c r="D1434" i="7" l="1"/>
  <c r="E1434" i="7"/>
  <c r="F1434" i="7"/>
  <c r="D1435" i="7"/>
  <c r="E1435" i="7"/>
  <c r="F1435" i="7"/>
  <c r="G1436" i="7"/>
  <c r="H1436" i="7"/>
  <c r="D1437" i="7"/>
  <c r="E1437" i="7"/>
  <c r="F1437" i="7"/>
  <c r="G1438" i="7"/>
  <c r="H1438" i="7"/>
  <c r="G1434" i="7" l="1"/>
  <c r="D1439" i="7"/>
  <c r="H1435" i="7"/>
  <c r="H1437" i="7"/>
  <c r="G1437" i="7"/>
  <c r="E1439" i="7"/>
  <c r="H1434" i="7"/>
  <c r="G1435" i="7"/>
  <c r="F1439" i="7"/>
  <c r="I1437" i="7" l="1"/>
  <c r="I1438" i="7"/>
  <c r="I1436" i="7"/>
  <c r="G1439" i="7"/>
  <c r="H1439" i="7"/>
  <c r="I1434" i="7"/>
  <c r="I1435" i="7"/>
  <c r="I1439" i="7" l="1"/>
  <c r="E2631" i="7" l="1"/>
  <c r="H2630" i="7"/>
  <c r="G2630" i="7"/>
  <c r="H2629" i="7"/>
  <c r="G2629" i="7"/>
  <c r="F2628" i="7"/>
  <c r="E2628" i="7"/>
  <c r="D2628" i="7"/>
  <c r="F2627" i="7"/>
  <c r="E2627" i="7"/>
  <c r="D2627" i="7"/>
  <c r="D2606" i="7"/>
  <c r="E2604" i="7" s="1"/>
  <c r="F2597" i="7"/>
  <c r="E2597" i="7"/>
  <c r="D2597" i="7"/>
  <c r="E2596" i="7"/>
  <c r="E2598" i="7" s="1"/>
  <c r="F2571" i="7"/>
  <c r="E2571" i="7"/>
  <c r="D2571" i="7"/>
  <c r="G2570" i="7"/>
  <c r="E2570" i="7"/>
  <c r="H2570" i="7" s="1"/>
  <c r="G2569" i="7"/>
  <c r="E2569" i="7"/>
  <c r="H2569" i="7" s="1"/>
  <c r="F2568" i="7"/>
  <c r="E2568" i="7"/>
  <c r="D2568" i="7"/>
  <c r="F2567" i="7"/>
  <c r="E2567" i="7"/>
  <c r="D2567" i="7"/>
  <c r="E2548" i="7"/>
  <c r="F2547" i="7"/>
  <c r="E2547" i="7"/>
  <c r="D2547" i="7"/>
  <c r="G2523" i="7"/>
  <c r="E2523" i="7"/>
  <c r="H2523" i="7" s="1"/>
  <c r="G2522" i="7"/>
  <c r="E2522" i="7"/>
  <c r="H2522" i="7" s="1"/>
  <c r="F2521" i="7"/>
  <c r="E2521" i="7"/>
  <c r="D2521" i="7"/>
  <c r="F2520" i="7"/>
  <c r="E2520" i="7"/>
  <c r="D2520" i="7"/>
  <c r="F2511" i="7"/>
  <c r="E2511" i="7"/>
  <c r="D2511" i="7"/>
  <c r="F2510" i="7"/>
  <c r="E2510" i="7"/>
  <c r="D2510" i="7"/>
  <c r="F2482" i="7"/>
  <c r="E2482" i="7"/>
  <c r="D2482" i="7"/>
  <c r="G2481" i="7"/>
  <c r="E2481" i="7"/>
  <c r="H2481" i="7" s="1"/>
  <c r="F2480" i="7"/>
  <c r="E2480" i="7"/>
  <c r="D2480" i="7"/>
  <c r="F2479" i="7"/>
  <c r="E2479" i="7"/>
  <c r="D2479" i="7"/>
  <c r="F2478" i="7"/>
  <c r="E2478" i="7"/>
  <c r="D2478" i="7"/>
  <c r="G2456" i="7"/>
  <c r="E2456" i="7"/>
  <c r="H2456" i="7" s="1"/>
  <c r="F2455" i="7"/>
  <c r="D2455" i="7"/>
  <c r="F2454" i="7"/>
  <c r="E2454" i="7"/>
  <c r="D2454" i="7"/>
  <c r="F2453" i="7"/>
  <c r="E2453" i="7"/>
  <c r="D2453" i="7"/>
  <c r="F2452" i="7"/>
  <c r="E2452" i="7"/>
  <c r="D2452" i="7"/>
  <c r="F2417" i="7"/>
  <c r="E2417" i="7"/>
  <c r="D2417" i="7"/>
  <c r="F2416" i="7"/>
  <c r="E2416" i="7"/>
  <c r="D2416" i="7"/>
  <c r="F2415" i="7"/>
  <c r="E2415" i="7"/>
  <c r="D2415" i="7"/>
  <c r="F2414" i="7"/>
  <c r="E2414" i="7"/>
  <c r="D2414" i="7"/>
  <c r="F2413" i="7"/>
  <c r="E2413" i="7"/>
  <c r="D2413" i="7"/>
  <c r="F2402" i="7"/>
  <c r="F2401" i="7"/>
  <c r="D2401" i="7"/>
  <c r="D2400" i="7" s="1"/>
  <c r="E2400" i="7"/>
  <c r="F2398" i="7"/>
  <c r="E2398" i="7"/>
  <c r="D2398" i="7"/>
  <c r="H2397" i="7"/>
  <c r="G2397" i="7"/>
  <c r="F2396" i="7"/>
  <c r="E2396" i="7"/>
  <c r="D2396" i="7"/>
  <c r="D2399" i="7" s="1"/>
  <c r="F2334" i="7"/>
  <c r="E2334" i="7"/>
  <c r="F2333" i="7"/>
  <c r="E2333" i="7"/>
  <c r="D2333" i="7"/>
  <c r="F2332" i="7"/>
  <c r="E2332" i="7"/>
  <c r="D2332" i="7"/>
  <c r="F2331" i="7"/>
  <c r="E2331" i="7"/>
  <c r="D2331" i="7"/>
  <c r="F2330" i="7"/>
  <c r="E2330" i="7"/>
  <c r="D2330" i="7"/>
  <c r="F2286" i="7"/>
  <c r="E2286" i="7"/>
  <c r="D2286" i="7"/>
  <c r="F2285" i="7"/>
  <c r="E2285" i="7"/>
  <c r="D2285" i="7"/>
  <c r="F2284" i="7"/>
  <c r="E2284" i="7"/>
  <c r="D2284" i="7"/>
  <c r="F2283" i="7"/>
  <c r="E2283" i="7"/>
  <c r="D2283" i="7"/>
  <c r="F2282" i="7"/>
  <c r="E2282" i="7"/>
  <c r="F2271" i="7"/>
  <c r="I2270" i="7" s="1"/>
  <c r="E2271" i="7"/>
  <c r="E2272" i="7" s="1"/>
  <c r="D2271" i="7"/>
  <c r="D2272" i="7" s="1"/>
  <c r="H2270" i="7"/>
  <c r="G2270" i="7"/>
  <c r="E2239" i="7"/>
  <c r="F2238" i="7"/>
  <c r="E2238" i="7"/>
  <c r="D2238" i="7"/>
  <c r="G2237" i="7"/>
  <c r="E2237" i="7"/>
  <c r="F2236" i="7"/>
  <c r="E2236" i="7"/>
  <c r="D2236" i="7"/>
  <c r="F2235" i="7"/>
  <c r="E2235" i="7"/>
  <c r="D2235" i="7"/>
  <c r="F2211" i="7"/>
  <c r="E2211" i="7"/>
  <c r="D2211" i="7"/>
  <c r="H2210" i="7"/>
  <c r="G2210" i="7"/>
  <c r="H2209" i="7"/>
  <c r="G2209" i="7"/>
  <c r="F2208" i="7"/>
  <c r="E2208" i="7"/>
  <c r="D2208" i="7"/>
  <c r="F2207" i="7"/>
  <c r="E2207" i="7"/>
  <c r="D2207" i="7"/>
  <c r="F2179" i="7"/>
  <c r="E2179" i="7"/>
  <c r="D2179" i="7"/>
  <c r="F2178" i="7"/>
  <c r="E2178" i="7"/>
  <c r="F2153" i="7"/>
  <c r="E2153" i="7"/>
  <c r="D2153" i="7"/>
  <c r="G2152" i="7"/>
  <c r="E2152" i="7"/>
  <c r="H2152" i="7" s="1"/>
  <c r="G2151" i="7"/>
  <c r="E2151" i="7"/>
  <c r="H2151" i="7" s="1"/>
  <c r="F2150" i="7"/>
  <c r="E2150" i="7"/>
  <c r="D2150" i="7"/>
  <c r="F2149" i="7"/>
  <c r="E2149" i="7"/>
  <c r="D2149" i="7"/>
  <c r="F2119" i="7"/>
  <c r="E2119" i="7"/>
  <c r="D2119" i="7"/>
  <c r="F2118" i="7"/>
  <c r="E2118" i="7"/>
  <c r="D2118" i="7"/>
  <c r="F2117" i="7"/>
  <c r="E2117" i="7"/>
  <c r="D2117" i="7"/>
  <c r="F2116" i="7"/>
  <c r="E2116" i="7"/>
  <c r="F2115" i="7"/>
  <c r="E2115" i="7"/>
  <c r="D2115" i="7"/>
  <c r="G2093" i="7"/>
  <c r="E2093" i="7"/>
  <c r="H2093" i="7" s="1"/>
  <c r="G2092" i="7"/>
  <c r="E2092" i="7"/>
  <c r="H2092" i="7" s="1"/>
  <c r="G2091" i="7"/>
  <c r="E2091" i="7"/>
  <c r="H2091" i="7" s="1"/>
  <c r="F2090" i="7"/>
  <c r="E2090" i="7"/>
  <c r="D2090" i="7"/>
  <c r="F2089" i="7"/>
  <c r="E2089" i="7"/>
  <c r="D2089" i="7"/>
  <c r="F2066" i="7"/>
  <c r="E2066" i="7"/>
  <c r="D2066" i="7"/>
  <c r="F2065" i="7"/>
  <c r="E2065" i="7"/>
  <c r="D2065" i="7"/>
  <c r="F2064" i="7"/>
  <c r="E2064" i="7"/>
  <c r="D2064" i="7"/>
  <c r="F2063" i="7"/>
  <c r="E2063" i="7"/>
  <c r="D2063" i="7"/>
  <c r="F2062" i="7"/>
  <c r="E2062" i="7"/>
  <c r="D2062" i="7"/>
  <c r="F2061" i="7"/>
  <c r="E2061" i="7"/>
  <c r="D2061" i="7"/>
  <c r="D2033" i="7"/>
  <c r="G2032" i="7"/>
  <c r="H2032" i="7"/>
  <c r="G2031" i="7"/>
  <c r="E2031" i="7"/>
  <c r="H2031" i="7" s="1"/>
  <c r="F2030" i="7"/>
  <c r="E2030" i="7"/>
  <c r="D2030" i="7"/>
  <c r="F2029" i="7"/>
  <c r="E2029" i="7"/>
  <c r="D2029" i="7"/>
  <c r="F2010" i="7"/>
  <c r="D2010" i="7"/>
  <c r="D2009" i="7" s="1"/>
  <c r="F2007" i="7"/>
  <c r="E2007" i="7"/>
  <c r="D2007" i="7"/>
  <c r="F2006" i="7"/>
  <c r="E2006" i="7"/>
  <c r="D2006" i="7"/>
  <c r="F2005" i="7"/>
  <c r="E2005" i="7"/>
  <c r="D2005" i="7"/>
  <c r="F2004" i="7"/>
  <c r="E2004" i="7"/>
  <c r="D2004" i="7"/>
  <c r="F2003" i="7"/>
  <c r="E2003" i="7"/>
  <c r="D2003" i="7"/>
  <c r="F2002" i="7"/>
  <c r="E2002" i="7"/>
  <c r="D2002" i="7"/>
  <c r="F1976" i="7"/>
  <c r="E1976" i="7"/>
  <c r="D1976" i="7"/>
  <c r="F1975" i="7"/>
  <c r="E1975" i="7"/>
  <c r="D1975" i="7"/>
  <c r="G1974" i="7"/>
  <c r="E1974" i="7"/>
  <c r="H1974" i="7" s="1"/>
  <c r="F1973" i="7"/>
  <c r="E1973" i="7"/>
  <c r="D1973" i="7"/>
  <c r="F1972" i="7"/>
  <c r="E1972" i="7"/>
  <c r="D1972" i="7"/>
  <c r="F1956" i="7"/>
  <c r="H1956" i="7" s="1"/>
  <c r="D1956" i="7"/>
  <c r="D1955" i="7"/>
  <c r="F1953" i="7"/>
  <c r="E1953" i="7"/>
  <c r="D1953" i="7"/>
  <c r="F1952" i="7"/>
  <c r="E1952" i="7"/>
  <c r="D1952" i="7"/>
  <c r="F1951" i="7"/>
  <c r="E1951" i="7"/>
  <c r="D1951" i="7"/>
  <c r="F1950" i="7"/>
  <c r="E1950" i="7"/>
  <c r="D1950" i="7"/>
  <c r="F1949" i="7"/>
  <c r="E1949" i="7"/>
  <c r="D1949" i="7"/>
  <c r="F1948" i="7"/>
  <c r="E1948" i="7"/>
  <c r="D1948" i="7"/>
  <c r="F1947" i="7"/>
  <c r="E1947" i="7"/>
  <c r="D1947" i="7"/>
  <c r="F1946" i="7"/>
  <c r="E1946" i="7"/>
  <c r="D1946" i="7"/>
  <c r="F1945" i="7"/>
  <c r="E1945" i="7"/>
  <c r="D1945" i="7"/>
  <c r="F1920" i="7"/>
  <c r="E1920" i="7"/>
  <c r="D1920" i="7"/>
  <c r="H1919" i="7"/>
  <c r="G1919" i="7"/>
  <c r="H1918" i="7"/>
  <c r="G1918" i="7"/>
  <c r="F1917" i="7"/>
  <c r="E1917" i="7"/>
  <c r="D1917" i="7"/>
  <c r="F1916" i="7"/>
  <c r="E1916" i="7"/>
  <c r="D1916" i="7"/>
  <c r="E1859" i="7"/>
  <c r="H1858" i="7"/>
  <c r="G1858" i="7"/>
  <c r="F1857" i="7"/>
  <c r="E1857" i="7"/>
  <c r="D1857" i="7"/>
  <c r="F1856" i="7"/>
  <c r="E1856" i="7"/>
  <c r="D1856" i="7"/>
  <c r="F1855" i="7"/>
  <c r="E1855" i="7"/>
  <c r="D1855" i="7"/>
  <c r="F1816" i="7"/>
  <c r="E1816" i="7"/>
  <c r="D1816" i="7"/>
  <c r="H1815" i="7"/>
  <c r="G1815" i="7"/>
  <c r="F1814" i="7"/>
  <c r="E1814" i="7"/>
  <c r="D1814" i="7"/>
  <c r="F1813" i="7"/>
  <c r="E1813" i="7"/>
  <c r="D1813" i="7"/>
  <c r="F1812" i="7"/>
  <c r="E1812" i="7"/>
  <c r="D1812" i="7"/>
  <c r="F1796" i="7"/>
  <c r="E1796" i="7"/>
  <c r="D1796" i="7"/>
  <c r="F1795" i="7"/>
  <c r="E1795" i="7"/>
  <c r="D1795" i="7"/>
  <c r="F1768" i="7"/>
  <c r="E1768" i="7"/>
  <c r="D1768" i="7"/>
  <c r="H1767" i="7"/>
  <c r="G1767" i="7"/>
  <c r="H1766" i="7"/>
  <c r="G1766" i="7"/>
  <c r="F1765" i="7"/>
  <c r="E1765" i="7"/>
  <c r="D1765" i="7"/>
  <c r="F1764" i="7"/>
  <c r="E1764" i="7"/>
  <c r="D1764" i="7"/>
  <c r="H1746" i="7"/>
  <c r="G1746" i="7"/>
  <c r="E1745" i="7"/>
  <c r="F1744" i="7"/>
  <c r="D1744" i="7"/>
  <c r="F1742" i="7"/>
  <c r="E1742" i="7"/>
  <c r="D1742" i="7"/>
  <c r="F1741" i="7"/>
  <c r="E1741" i="7"/>
  <c r="D1741" i="7"/>
  <c r="F1740" i="7"/>
  <c r="E1740" i="7"/>
  <c r="D1740" i="7"/>
  <c r="F1739" i="7"/>
  <c r="E1739" i="7"/>
  <c r="D1739" i="7"/>
  <c r="F1738" i="7"/>
  <c r="E1738" i="7"/>
  <c r="D1738" i="7"/>
  <c r="F1737" i="7"/>
  <c r="E1737" i="7"/>
  <c r="D1737" i="7"/>
  <c r="G1700" i="7"/>
  <c r="E1700" i="7"/>
  <c r="H1700" i="7" s="1"/>
  <c r="G1699" i="7"/>
  <c r="E1699" i="7"/>
  <c r="H1699" i="7" s="1"/>
  <c r="G1698" i="7"/>
  <c r="E1698" i="7"/>
  <c r="H1698" i="7" s="1"/>
  <c r="F1697" i="7"/>
  <c r="E1697" i="7"/>
  <c r="D1697" i="7"/>
  <c r="F1696" i="7"/>
  <c r="E1696" i="7"/>
  <c r="D1696" i="7"/>
  <c r="G1678" i="7"/>
  <c r="E1678" i="7"/>
  <c r="H1678" i="7" s="1"/>
  <c r="G1677" i="7"/>
  <c r="E1677" i="7"/>
  <c r="H1677" i="7" s="1"/>
  <c r="G1676" i="7"/>
  <c r="E1676" i="7"/>
  <c r="H1676" i="7" s="1"/>
  <c r="F1675" i="7"/>
  <c r="E1675" i="7"/>
  <c r="D1675" i="7"/>
  <c r="F1674" i="7"/>
  <c r="E1674" i="7"/>
  <c r="D1674" i="7"/>
  <c r="G1643" i="7"/>
  <c r="E1643" i="7"/>
  <c r="H1643" i="7" s="1"/>
  <c r="G1642" i="7"/>
  <c r="E1642" i="7"/>
  <c r="H1642" i="7" s="1"/>
  <c r="G1641" i="7"/>
  <c r="E1641" i="7"/>
  <c r="H1641" i="7" s="1"/>
  <c r="F1640" i="7"/>
  <c r="E1640" i="7"/>
  <c r="D1640" i="7"/>
  <c r="F1639" i="7"/>
  <c r="E1639" i="7"/>
  <c r="D1639" i="7"/>
  <c r="F1622" i="7"/>
  <c r="D1622" i="7"/>
  <c r="F1620" i="7"/>
  <c r="E1620" i="7"/>
  <c r="D1620" i="7"/>
  <c r="F1619" i="7"/>
  <c r="E1619" i="7"/>
  <c r="D1619" i="7"/>
  <c r="F1618" i="7"/>
  <c r="E1618" i="7"/>
  <c r="D1618" i="7"/>
  <c r="F1617" i="7"/>
  <c r="E1617" i="7"/>
  <c r="D1617" i="7"/>
  <c r="F1616" i="7"/>
  <c r="E1616" i="7"/>
  <c r="D1616" i="7"/>
  <c r="H1581" i="7"/>
  <c r="G1581" i="7"/>
  <c r="F1580" i="7"/>
  <c r="E1580" i="7"/>
  <c r="D1580" i="7"/>
  <c r="H1579" i="7"/>
  <c r="G1579" i="7"/>
  <c r="F1578" i="7"/>
  <c r="E1578" i="7"/>
  <c r="D1578" i="7"/>
  <c r="F1577" i="7"/>
  <c r="E1577" i="7"/>
  <c r="D1577" i="7"/>
  <c r="H1556" i="7"/>
  <c r="G1556" i="7"/>
  <c r="F1555" i="7"/>
  <c r="E1555" i="7"/>
  <c r="D1555" i="7"/>
  <c r="H1554" i="7"/>
  <c r="G1554" i="7"/>
  <c r="F1553" i="7"/>
  <c r="E1553" i="7"/>
  <c r="D1553" i="7"/>
  <c r="F1552" i="7"/>
  <c r="E1552" i="7"/>
  <c r="D1552" i="7"/>
  <c r="F1522" i="7"/>
  <c r="E1522" i="7"/>
  <c r="D1522" i="7"/>
  <c r="F1521" i="7"/>
  <c r="E1521" i="7"/>
  <c r="D1521" i="7"/>
  <c r="F1520" i="7"/>
  <c r="E1520" i="7"/>
  <c r="D1520" i="7"/>
  <c r="F1519" i="7"/>
  <c r="E1519" i="7"/>
  <c r="D1519" i="7"/>
  <c r="F1518" i="7"/>
  <c r="E1518" i="7"/>
  <c r="D1518" i="7"/>
  <c r="F1501" i="7"/>
  <c r="E1501" i="7"/>
  <c r="D1501" i="7"/>
  <c r="F1500" i="7"/>
  <c r="E1500" i="7"/>
  <c r="D1500" i="7"/>
  <c r="F1499" i="7"/>
  <c r="E1499" i="7"/>
  <c r="D1499" i="7"/>
  <c r="F1498" i="7"/>
  <c r="E1498" i="7"/>
  <c r="D1498" i="7"/>
  <c r="F1497" i="7"/>
  <c r="E1497" i="7"/>
  <c r="D1497" i="7"/>
  <c r="F1496" i="7"/>
  <c r="E1496" i="7"/>
  <c r="D1496" i="7"/>
  <c r="F1495" i="7"/>
  <c r="E1495" i="7"/>
  <c r="D1495" i="7"/>
  <c r="F1494" i="7"/>
  <c r="E1494" i="7"/>
  <c r="D1494" i="7"/>
  <c r="H1365" i="7"/>
  <c r="H1357" i="7"/>
  <c r="H1366" i="7"/>
  <c r="G1366" i="7"/>
  <c r="G1365" i="7"/>
  <c r="F1358" i="7"/>
  <c r="I1365" i="7" s="1"/>
  <c r="E1358" i="7"/>
  <c r="D1358" i="7"/>
  <c r="G1357" i="7"/>
  <c r="E1357" i="7"/>
  <c r="H1352" i="7" s="1"/>
  <c r="F1356" i="7"/>
  <c r="I1357" i="7" s="1"/>
  <c r="D1356" i="7"/>
  <c r="H1354" i="7"/>
  <c r="G1354" i="7"/>
  <c r="G1352" i="7"/>
  <c r="I1352" i="7"/>
  <c r="E1351" i="7"/>
  <c r="H1350" i="7"/>
  <c r="F1350" i="7"/>
  <c r="E1350" i="7"/>
  <c r="D1350" i="7"/>
  <c r="H1349" i="7"/>
  <c r="G1349" i="7"/>
  <c r="F1349" i="7"/>
  <c r="E1349" i="7"/>
  <c r="D1349" i="7"/>
  <c r="G1348" i="7"/>
  <c r="H1347" i="7"/>
  <c r="G1347" i="7"/>
  <c r="F1346" i="7"/>
  <c r="F1342" i="7" s="1"/>
  <c r="I1344" i="7" s="1"/>
  <c r="D1346" i="7"/>
  <c r="D1342" i="7" s="1"/>
  <c r="G1345" i="7"/>
  <c r="G1343" i="7"/>
  <c r="G1340" i="7"/>
  <c r="F1339" i="7"/>
  <c r="H1338" i="7"/>
  <c r="G1338" i="7"/>
  <c r="F1337" i="7"/>
  <c r="H1336" i="7"/>
  <c r="H1335" i="7"/>
  <c r="G1335" i="7"/>
  <c r="H1334" i="7"/>
  <c r="G1334" i="7"/>
  <c r="F1332" i="7"/>
  <c r="F1331" i="7" s="1"/>
  <c r="D1332" i="7"/>
  <c r="D1331" i="7" s="1"/>
  <c r="E1331" i="7"/>
  <c r="G1330" i="7"/>
  <c r="H1329" i="7"/>
  <c r="G1329" i="7"/>
  <c r="H1330" i="7"/>
  <c r="H1328" i="7"/>
  <c r="G1328" i="7"/>
  <c r="G1327" i="7"/>
  <c r="H1327" i="7"/>
  <c r="H1326" i="7"/>
  <c r="G1326" i="7"/>
  <c r="F1324" i="7"/>
  <c r="E1324" i="7"/>
  <c r="D1324" i="7"/>
  <c r="F1321" i="7"/>
  <c r="H1319" i="7"/>
  <c r="G1319" i="7"/>
  <c r="I1318" i="7"/>
  <c r="G1318" i="7"/>
  <c r="H1318" i="7"/>
  <c r="I1317" i="7"/>
  <c r="H1317" i="7"/>
  <c r="G1317" i="7"/>
  <c r="G1316" i="7"/>
  <c r="H1316" i="7"/>
  <c r="G1315" i="7"/>
  <c r="H1315" i="7"/>
  <c r="G1314" i="7"/>
  <c r="H1314" i="7"/>
  <c r="G1313" i="7"/>
  <c r="G1312" i="7"/>
  <c r="H1312" i="7"/>
  <c r="G1311" i="7"/>
  <c r="H1311" i="7"/>
  <c r="F1288" i="7"/>
  <c r="F1286" i="7"/>
  <c r="F2631" i="7"/>
  <c r="D2631" i="7"/>
  <c r="H1279" i="7"/>
  <c r="G1279" i="7"/>
  <c r="F1278" i="7"/>
  <c r="E2524" i="7"/>
  <c r="D2524" i="7"/>
  <c r="H1277" i="7"/>
  <c r="G1277" i="7"/>
  <c r="H1275" i="7"/>
  <c r="G1275" i="7"/>
  <c r="H1274" i="7"/>
  <c r="G1274" i="7"/>
  <c r="F1273" i="7"/>
  <c r="I1275" i="7" s="1"/>
  <c r="E1273" i="7"/>
  <c r="D1273" i="7"/>
  <c r="H1272" i="7"/>
  <c r="G1272" i="7"/>
  <c r="H1271" i="7"/>
  <c r="D2334" i="7"/>
  <c r="H1270" i="7"/>
  <c r="G1270" i="7"/>
  <c r="F1269" i="7"/>
  <c r="F2239" i="7" s="1"/>
  <c r="D1269" i="7"/>
  <c r="D2239" i="7" s="1"/>
  <c r="E1268" i="7"/>
  <c r="H1267" i="7"/>
  <c r="G1267" i="7"/>
  <c r="H1266" i="7"/>
  <c r="G1266" i="7"/>
  <c r="H1265" i="7"/>
  <c r="G1265" i="7"/>
  <c r="F1264" i="7"/>
  <c r="E1264" i="7"/>
  <c r="D1264" i="7"/>
  <c r="H1263" i="7"/>
  <c r="G1263" i="7"/>
  <c r="H1262" i="7"/>
  <c r="G1262" i="7"/>
  <c r="H1261" i="7"/>
  <c r="G1261" i="7"/>
  <c r="F1859" i="7"/>
  <c r="D1260" i="7"/>
  <c r="D1859" i="7" s="1"/>
  <c r="H1259" i="7"/>
  <c r="G1259" i="7"/>
  <c r="E1258" i="7"/>
  <c r="H1257" i="7"/>
  <c r="G1257" i="7"/>
  <c r="F1256" i="7"/>
  <c r="E1256" i="7"/>
  <c r="D1256" i="7"/>
  <c r="F1255" i="7"/>
  <c r="E1255" i="7"/>
  <c r="D1255" i="7"/>
  <c r="F1254" i="7"/>
  <c r="E1254" i="7"/>
  <c r="D1254" i="7"/>
  <c r="F1253" i="7"/>
  <c r="E1253" i="7"/>
  <c r="D1253" i="7"/>
  <c r="F1252" i="7"/>
  <c r="E1252" i="7"/>
  <c r="D1252" i="7"/>
  <c r="H1251" i="7"/>
  <c r="G1251" i="7"/>
  <c r="G1249" i="7"/>
  <c r="E1249" i="7"/>
  <c r="H1202" i="7"/>
  <c r="G1202" i="7"/>
  <c r="G1199" i="7"/>
  <c r="H1199" i="7"/>
  <c r="H1171" i="7"/>
  <c r="G1171" i="7"/>
  <c r="H1170" i="7"/>
  <c r="G1170" i="7"/>
  <c r="H1169" i="7"/>
  <c r="G1169" i="7"/>
  <c r="H1168" i="7"/>
  <c r="G1168" i="7"/>
  <c r="F1167" i="7"/>
  <c r="I1168" i="7" s="1"/>
  <c r="E1167" i="7"/>
  <c r="D1167" i="7"/>
  <c r="G1166" i="7"/>
  <c r="E2455" i="7"/>
  <c r="H1165" i="7"/>
  <c r="G1165" i="7"/>
  <c r="F1164" i="7"/>
  <c r="D1164" i="7"/>
  <c r="H1163" i="7"/>
  <c r="G1163" i="7"/>
  <c r="H1162" i="7"/>
  <c r="G1162" i="7"/>
  <c r="H1161" i="7"/>
  <c r="G1161" i="7"/>
  <c r="I1162" i="7"/>
  <c r="D1160" i="7"/>
  <c r="H1159" i="7"/>
  <c r="G1159" i="7"/>
  <c r="I1158" i="7"/>
  <c r="H1158" i="7"/>
  <c r="G1158" i="7"/>
  <c r="I1157" i="7"/>
  <c r="H1157" i="7"/>
  <c r="G1157" i="7"/>
  <c r="H1156" i="7"/>
  <c r="G1156" i="7"/>
  <c r="H1155" i="7"/>
  <c r="G1155" i="7"/>
  <c r="H1154" i="7"/>
  <c r="G1154" i="7"/>
  <c r="H1153" i="7"/>
  <c r="G1153" i="7"/>
  <c r="I1152" i="7"/>
  <c r="H1152" i="7"/>
  <c r="G1152" i="7"/>
  <c r="I1151" i="7"/>
  <c r="H1151" i="7"/>
  <c r="G1151" i="7"/>
  <c r="H1150" i="7"/>
  <c r="G1150" i="7"/>
  <c r="H1149" i="7"/>
  <c r="G1149" i="7"/>
  <c r="H1148" i="7"/>
  <c r="G1148" i="7"/>
  <c r="H1147" i="7"/>
  <c r="G1147" i="7"/>
  <c r="H1145" i="7"/>
  <c r="G1145" i="7"/>
  <c r="H1144" i="7"/>
  <c r="G1144" i="7"/>
  <c r="H1143" i="7"/>
  <c r="G1143" i="7"/>
  <c r="H1142" i="7"/>
  <c r="G1142" i="7"/>
  <c r="F1141" i="7"/>
  <c r="E1141" i="7"/>
  <c r="D1141" i="7"/>
  <c r="H1140" i="7"/>
  <c r="G1140" i="7"/>
  <c r="I1097" i="7"/>
  <c r="H1102" i="7"/>
  <c r="G1102" i="7"/>
  <c r="G1101" i="7"/>
  <c r="H1101" i="7"/>
  <c r="G1099" i="7"/>
  <c r="E1099" i="7"/>
  <c r="H1099" i="7" s="1"/>
  <c r="G1098" i="7"/>
  <c r="E1098" i="7"/>
  <c r="H1097" i="7"/>
  <c r="G1097" i="7"/>
  <c r="H1095" i="7"/>
  <c r="G1095" i="7"/>
  <c r="H1093" i="7"/>
  <c r="G1093" i="7"/>
  <c r="H1092" i="7"/>
  <c r="G1092" i="7"/>
  <c r="H1091" i="7"/>
  <c r="G1091" i="7"/>
  <c r="H1082" i="7"/>
  <c r="G1082" i="7"/>
  <c r="H1081" i="7"/>
  <c r="G1081" i="7"/>
  <c r="F1078" i="7"/>
  <c r="G1020" i="7"/>
  <c r="E1020" i="7"/>
  <c r="H1020" i="7" s="1"/>
  <c r="G1019" i="7"/>
  <c r="E1019" i="7"/>
  <c r="H1019" i="7" s="1"/>
  <c r="G1018" i="7"/>
  <c r="E1018" i="7"/>
  <c r="H1018" i="7" s="1"/>
  <c r="H1017" i="7"/>
  <c r="G1017" i="7"/>
  <c r="F1016" i="7"/>
  <c r="I1018" i="7" s="1"/>
  <c r="D1016" i="7"/>
  <c r="H1015" i="7"/>
  <c r="G1015" i="7"/>
  <c r="H1014" i="7"/>
  <c r="G1014" i="7"/>
  <c r="F1013" i="7"/>
  <c r="I1014" i="7" s="1"/>
  <c r="E1013" i="7"/>
  <c r="D1013" i="7"/>
  <c r="H1011" i="7"/>
  <c r="G1011" i="7"/>
  <c r="H1010" i="7"/>
  <c r="G1010" i="7"/>
  <c r="E1009" i="7"/>
  <c r="H1009" i="7" s="1"/>
  <c r="D1009" i="7"/>
  <c r="D1008" i="7" s="1"/>
  <c r="F1008" i="7"/>
  <c r="I1010" i="7" s="1"/>
  <c r="G1007" i="7"/>
  <c r="E1007" i="7"/>
  <c r="H1007" i="7" s="1"/>
  <c r="G1006" i="7"/>
  <c r="E1006" i="7"/>
  <c r="H1006" i="7" s="1"/>
  <c r="G1005" i="7"/>
  <c r="E1005" i="7"/>
  <c r="H1005" i="7" s="1"/>
  <c r="F1004" i="7"/>
  <c r="I1005" i="7" s="1"/>
  <c r="D1004" i="7"/>
  <c r="G1003" i="7"/>
  <c r="E1003" i="7"/>
  <c r="H1003" i="7" s="1"/>
  <c r="G1002" i="7"/>
  <c r="E1002" i="7"/>
  <c r="H1002" i="7" s="1"/>
  <c r="F1001" i="7"/>
  <c r="E1001" i="7"/>
  <c r="D1001" i="7"/>
  <c r="H1000" i="7"/>
  <c r="G1000" i="7"/>
  <c r="H999" i="7"/>
  <c r="G999" i="7"/>
  <c r="F998" i="7"/>
  <c r="E998" i="7"/>
  <c r="D998" i="7"/>
  <c r="G997" i="7"/>
  <c r="E997" i="7"/>
  <c r="H997" i="7" s="1"/>
  <c r="G996" i="7"/>
  <c r="E996" i="7"/>
  <c r="H996" i="7" s="1"/>
  <c r="G995" i="7"/>
  <c r="E995" i="7"/>
  <c r="H995" i="7" s="1"/>
  <c r="G994" i="7"/>
  <c r="E994" i="7"/>
  <c r="H994" i="7" s="1"/>
  <c r="G993" i="7"/>
  <c r="E993" i="7"/>
  <c r="H993" i="7" s="1"/>
  <c r="G992" i="7"/>
  <c r="E992" i="7"/>
  <c r="H991" i="7"/>
  <c r="G991" i="7"/>
  <c r="F990" i="7"/>
  <c r="D990" i="7"/>
  <c r="G989" i="7"/>
  <c r="E989" i="7"/>
  <c r="F976" i="7"/>
  <c r="I969" i="7" s="1"/>
  <c r="H975" i="7"/>
  <c r="G975" i="7"/>
  <c r="G974" i="7"/>
  <c r="H974" i="7"/>
  <c r="H973" i="7"/>
  <c r="H972" i="7"/>
  <c r="G972" i="7"/>
  <c r="H971" i="7"/>
  <c r="G971" i="7"/>
  <c r="H970" i="7"/>
  <c r="G970" i="7"/>
  <c r="G969" i="7"/>
  <c r="H960" i="7"/>
  <c r="G960" i="7"/>
  <c r="H959" i="7"/>
  <c r="G959" i="7"/>
  <c r="F961" i="7"/>
  <c r="E961" i="7"/>
  <c r="D961" i="7"/>
  <c r="H904" i="7"/>
  <c r="G904" i="7"/>
  <c r="H903" i="7"/>
  <c r="G903" i="7"/>
  <c r="H902" i="7"/>
  <c r="G902" i="7"/>
  <c r="H901" i="7"/>
  <c r="G901" i="7"/>
  <c r="F900" i="7"/>
  <c r="I903" i="7" s="1"/>
  <c r="E900" i="7"/>
  <c r="D900" i="7"/>
  <c r="H899" i="7"/>
  <c r="G899" i="7"/>
  <c r="H898" i="7"/>
  <c r="G898" i="7"/>
  <c r="F897" i="7"/>
  <c r="I898" i="7" s="1"/>
  <c r="E897" i="7"/>
  <c r="D897" i="7"/>
  <c r="H895" i="7"/>
  <c r="G895" i="7"/>
  <c r="H894" i="7"/>
  <c r="G894" i="7"/>
  <c r="H893" i="7"/>
  <c r="G893" i="7"/>
  <c r="F892" i="7"/>
  <c r="I893" i="7" s="1"/>
  <c r="E892" i="7"/>
  <c r="D892" i="7"/>
  <c r="H891" i="7"/>
  <c r="G891" i="7"/>
  <c r="H885" i="7"/>
  <c r="G885" i="7"/>
  <c r="H884" i="7"/>
  <c r="G884" i="7"/>
  <c r="F883" i="7"/>
  <c r="E883" i="7"/>
  <c r="D883" i="7"/>
  <c r="H882" i="7"/>
  <c r="G882" i="7"/>
  <c r="H881" i="7"/>
  <c r="G881" i="7"/>
  <c r="H880" i="7"/>
  <c r="G880" i="7"/>
  <c r="H879" i="7"/>
  <c r="G879" i="7"/>
  <c r="H878" i="7"/>
  <c r="G878" i="7"/>
  <c r="F877" i="7"/>
  <c r="I879" i="7" s="1"/>
  <c r="E877" i="7"/>
  <c r="D877" i="7"/>
  <c r="H876" i="7"/>
  <c r="G876" i="7"/>
  <c r="H875" i="7"/>
  <c r="G875" i="7"/>
  <c r="H874" i="7"/>
  <c r="G874" i="7"/>
  <c r="H873" i="7"/>
  <c r="G873" i="7"/>
  <c r="H872" i="7"/>
  <c r="G872" i="7"/>
  <c r="H871" i="7"/>
  <c r="G871" i="7"/>
  <c r="H870" i="7"/>
  <c r="G870" i="7"/>
  <c r="F869" i="7"/>
  <c r="E869" i="7"/>
  <c r="D869" i="7"/>
  <c r="H868" i="7"/>
  <c r="G868" i="7"/>
  <c r="F834" i="7"/>
  <c r="D834" i="7"/>
  <c r="D831" i="7" s="1"/>
  <c r="H832" i="7"/>
  <c r="H830" i="7"/>
  <c r="G830" i="7"/>
  <c r="F829" i="7"/>
  <c r="E829" i="7"/>
  <c r="G828" i="7"/>
  <c r="E828" i="7"/>
  <c r="H828" i="7" s="1"/>
  <c r="H827" i="7"/>
  <c r="G827" i="7"/>
  <c r="H826" i="7"/>
  <c r="G826" i="7"/>
  <c r="F825" i="7"/>
  <c r="I828" i="7" s="1"/>
  <c r="D825" i="7"/>
  <c r="F824" i="7"/>
  <c r="H824" i="7" s="1"/>
  <c r="D824" i="7"/>
  <c r="F823" i="7"/>
  <c r="H823" i="7" s="1"/>
  <c r="D823" i="7"/>
  <c r="F822" i="7"/>
  <c r="H822" i="7" s="1"/>
  <c r="D822" i="7"/>
  <c r="E821" i="7"/>
  <c r="H819" i="7"/>
  <c r="G819" i="7"/>
  <c r="H818" i="7"/>
  <c r="G818" i="7"/>
  <c r="G817" i="7"/>
  <c r="H817" i="7"/>
  <c r="H816" i="7"/>
  <c r="G816" i="7"/>
  <c r="I810" i="7"/>
  <c r="G810" i="7"/>
  <c r="G809" i="7"/>
  <c r="H809" i="7"/>
  <c r="I807" i="7"/>
  <c r="H807" i="7"/>
  <c r="G807" i="7"/>
  <c r="H806" i="7"/>
  <c r="G806" i="7"/>
  <c r="H805" i="7"/>
  <c r="G805" i="7"/>
  <c r="G803" i="7"/>
  <c r="H802" i="7"/>
  <c r="G802" i="7"/>
  <c r="H801" i="7"/>
  <c r="G801" i="7"/>
  <c r="H800" i="7"/>
  <c r="G800" i="7"/>
  <c r="F799" i="7"/>
  <c r="I802" i="7" s="1"/>
  <c r="H798" i="7"/>
  <c r="D798" i="7"/>
  <c r="D796" i="7" s="1"/>
  <c r="H797" i="7"/>
  <c r="G797" i="7"/>
  <c r="F796" i="7"/>
  <c r="I798" i="7" s="1"/>
  <c r="E796" i="7"/>
  <c r="H795" i="7"/>
  <c r="G795" i="7"/>
  <c r="H794" i="7"/>
  <c r="G794" i="7"/>
  <c r="H793" i="7"/>
  <c r="G793" i="7"/>
  <c r="F792" i="7"/>
  <c r="E792" i="7"/>
  <c r="H791" i="7"/>
  <c r="G791" i="7"/>
  <c r="H790" i="7"/>
  <c r="G790" i="7"/>
  <c r="G789" i="7"/>
  <c r="H789" i="7"/>
  <c r="H788" i="7"/>
  <c r="G788" i="7"/>
  <c r="F787" i="7"/>
  <c r="F786" i="7"/>
  <c r="H786" i="7" s="1"/>
  <c r="G785" i="7"/>
  <c r="H785" i="7"/>
  <c r="H784" i="7"/>
  <c r="G784" i="7"/>
  <c r="F782" i="7"/>
  <c r="H781" i="7"/>
  <c r="G781" i="7"/>
  <c r="H780" i="7"/>
  <c r="G780" i="7"/>
  <c r="H779" i="7"/>
  <c r="G779" i="7"/>
  <c r="H778" i="7"/>
  <c r="G778" i="7"/>
  <c r="G777" i="7"/>
  <c r="H777" i="7"/>
  <c r="G775" i="7"/>
  <c r="G773" i="7"/>
  <c r="H773" i="7"/>
  <c r="F772" i="7"/>
  <c r="H772" i="7" s="1"/>
  <c r="G771" i="7"/>
  <c r="H771" i="7"/>
  <c r="F770" i="7"/>
  <c r="H770" i="7" s="1"/>
  <c r="H769" i="7"/>
  <c r="G769" i="7"/>
  <c r="H768" i="7"/>
  <c r="G768" i="7"/>
  <c r="H767" i="7"/>
  <c r="G767" i="7"/>
  <c r="H766" i="7"/>
  <c r="G766" i="7"/>
  <c r="H764" i="7"/>
  <c r="G764" i="7"/>
  <c r="H762" i="7"/>
  <c r="G762" i="7"/>
  <c r="H761" i="7"/>
  <c r="G761" i="7"/>
  <c r="H760" i="7"/>
  <c r="G760" i="7"/>
  <c r="H756" i="7"/>
  <c r="G756" i="7"/>
  <c r="H755" i="7"/>
  <c r="G755" i="7"/>
  <c r="H754" i="7"/>
  <c r="G754" i="7"/>
  <c r="H753" i="7"/>
  <c r="G753" i="7"/>
  <c r="I755" i="7"/>
  <c r="G751" i="7"/>
  <c r="H751" i="7"/>
  <c r="H750" i="7"/>
  <c r="G750" i="7"/>
  <c r="H749" i="7"/>
  <c r="G749" i="7"/>
  <c r="F748" i="7"/>
  <c r="I749" i="7" s="1"/>
  <c r="D748" i="7"/>
  <c r="H747" i="7"/>
  <c r="G747" i="7"/>
  <c r="H746" i="7"/>
  <c r="G746" i="7"/>
  <c r="H745" i="7"/>
  <c r="G745" i="7"/>
  <c r="H744" i="7"/>
  <c r="G744" i="7"/>
  <c r="H743" i="7"/>
  <c r="G743" i="7"/>
  <c r="H742" i="7"/>
  <c r="G742" i="7"/>
  <c r="H741" i="7"/>
  <c r="G741" i="7"/>
  <c r="H740" i="7"/>
  <c r="G740" i="7"/>
  <c r="F739" i="7"/>
  <c r="I747" i="7" s="1"/>
  <c r="E739" i="7"/>
  <c r="H726" i="7"/>
  <c r="G726" i="7"/>
  <c r="H724" i="7"/>
  <c r="G724" i="7"/>
  <c r="H689" i="7"/>
  <c r="G689" i="7"/>
  <c r="H688" i="7"/>
  <c r="G688" i="7"/>
  <c r="H687" i="7"/>
  <c r="G687" i="7"/>
  <c r="H686" i="7"/>
  <c r="G686" i="7"/>
  <c r="F685" i="7"/>
  <c r="I689" i="7" s="1"/>
  <c r="E685" i="7"/>
  <c r="D685" i="7"/>
  <c r="H684" i="7"/>
  <c r="G684" i="7"/>
  <c r="H683" i="7"/>
  <c r="G683" i="7"/>
  <c r="F682" i="7"/>
  <c r="I684" i="7" s="1"/>
  <c r="E682" i="7"/>
  <c r="D682" i="7"/>
  <c r="H680" i="7"/>
  <c r="G680" i="7"/>
  <c r="H679" i="7"/>
  <c r="D2282" i="7"/>
  <c r="H678" i="7"/>
  <c r="G678" i="7"/>
  <c r="F677" i="7"/>
  <c r="E677" i="7"/>
  <c r="H676" i="7"/>
  <c r="G676" i="7"/>
  <c r="H675" i="7"/>
  <c r="G675" i="7"/>
  <c r="H674" i="7"/>
  <c r="G674" i="7"/>
  <c r="F673" i="7"/>
  <c r="I675" i="7" s="1"/>
  <c r="E673" i="7"/>
  <c r="D673" i="7"/>
  <c r="H672" i="7"/>
  <c r="G672" i="7"/>
  <c r="H671" i="7"/>
  <c r="G671" i="7"/>
  <c r="H670" i="7"/>
  <c r="G670" i="7"/>
  <c r="H669" i="7"/>
  <c r="G669" i="7"/>
  <c r="H668" i="7"/>
  <c r="G668" i="7"/>
  <c r="F667" i="7"/>
  <c r="E667" i="7"/>
  <c r="D667" i="7"/>
  <c r="H666" i="7"/>
  <c r="G666" i="7"/>
  <c r="H665" i="7"/>
  <c r="G665" i="7"/>
  <c r="H664" i="7"/>
  <c r="G664" i="7"/>
  <c r="H663" i="7"/>
  <c r="G663" i="7"/>
  <c r="H662" i="7"/>
  <c r="G662" i="7"/>
  <c r="H661" i="7"/>
  <c r="G661" i="7"/>
  <c r="H660" i="7"/>
  <c r="G660" i="7"/>
  <c r="F659" i="7"/>
  <c r="E659" i="7"/>
  <c r="D659" i="7"/>
  <c r="H658" i="7"/>
  <c r="G658" i="7"/>
  <c r="I631" i="7"/>
  <c r="H639" i="7"/>
  <c r="D640" i="7"/>
  <c r="H633" i="7"/>
  <c r="G633" i="7"/>
  <c r="H632" i="7"/>
  <c r="G632" i="7"/>
  <c r="H631" i="7"/>
  <c r="G631" i="7"/>
  <c r="H629" i="7"/>
  <c r="G629" i="7"/>
  <c r="H628" i="7"/>
  <c r="G628" i="7"/>
  <c r="H627" i="7"/>
  <c r="G627" i="7"/>
  <c r="H626" i="7"/>
  <c r="G626" i="7"/>
  <c r="H625" i="7"/>
  <c r="G625" i="7"/>
  <c r="G612" i="7"/>
  <c r="H610" i="7"/>
  <c r="G610" i="7"/>
  <c r="G609" i="7"/>
  <c r="G608" i="7"/>
  <c r="F556" i="7"/>
  <c r="D556" i="7"/>
  <c r="H554" i="7"/>
  <c r="G554" i="7"/>
  <c r="H553" i="7"/>
  <c r="G553" i="7"/>
  <c r="G552" i="7"/>
  <c r="H551" i="7"/>
  <c r="G551" i="7"/>
  <c r="H550" i="7"/>
  <c r="G550" i="7"/>
  <c r="H521" i="7"/>
  <c r="G521" i="7"/>
  <c r="F517" i="7"/>
  <c r="H485" i="7"/>
  <c r="G485" i="7"/>
  <c r="F486" i="7"/>
  <c r="E486" i="7"/>
  <c r="H483" i="7"/>
  <c r="G483" i="7"/>
  <c r="H482" i="7"/>
  <c r="G482" i="7"/>
  <c r="H481" i="7"/>
  <c r="G481" i="7"/>
  <c r="H480" i="7"/>
  <c r="G480" i="7"/>
  <c r="D432" i="7"/>
  <c r="G431" i="7" s="1"/>
  <c r="F431" i="7"/>
  <c r="F429" i="7"/>
  <c r="F428" i="7"/>
  <c r="F427" i="7"/>
  <c r="F426" i="7"/>
  <c r="F371" i="7"/>
  <c r="E371" i="7"/>
  <c r="E369" i="7" s="1"/>
  <c r="F368" i="7"/>
  <c r="D368" i="7"/>
  <c r="F367" i="7"/>
  <c r="H367" i="7" s="1"/>
  <c r="D367" i="7"/>
  <c r="F363" i="7"/>
  <c r="D2596" i="7"/>
  <c r="H364" i="7"/>
  <c r="G364" i="7"/>
  <c r="E363" i="7"/>
  <c r="F2548" i="7"/>
  <c r="D2548" i="7"/>
  <c r="E361" i="7"/>
  <c r="E359" i="7" s="1"/>
  <c r="G360" i="7"/>
  <c r="H353" i="7"/>
  <c r="G353" i="7"/>
  <c r="F352" i="7"/>
  <c r="D352" i="7"/>
  <c r="G351" i="7"/>
  <c r="F350" i="7"/>
  <c r="I351" i="7" s="1"/>
  <c r="I350" i="7" s="1"/>
  <c r="E350" i="7"/>
  <c r="H351" i="7" s="1"/>
  <c r="E348" i="7"/>
  <c r="H346" i="7"/>
  <c r="G346" i="7"/>
  <c r="F344" i="7"/>
  <c r="I346" i="7" s="1"/>
  <c r="E344" i="7"/>
  <c r="D344" i="7"/>
  <c r="F343" i="7"/>
  <c r="I342" i="7" s="1"/>
  <c r="E343" i="7"/>
  <c r="H342" i="7"/>
  <c r="G342" i="7"/>
  <c r="H340" i="7"/>
  <c r="G340" i="7"/>
  <c r="H338" i="7"/>
  <c r="G338" i="7"/>
  <c r="F337" i="7"/>
  <c r="I338" i="7" s="1"/>
  <c r="E337" i="7"/>
  <c r="D337" i="7"/>
  <c r="D336" i="7" s="1"/>
  <c r="F336" i="7"/>
  <c r="E336" i="7"/>
  <c r="F335" i="7"/>
  <c r="I334" i="7" s="1"/>
  <c r="E335" i="7"/>
  <c r="H334" i="7"/>
  <c r="G334" i="7"/>
  <c r="H333" i="7"/>
  <c r="E332" i="7"/>
  <c r="F331" i="7"/>
  <c r="I327" i="7" s="1"/>
  <c r="E331" i="7"/>
  <c r="E325" i="7" s="1"/>
  <c r="H330" i="7"/>
  <c r="G330" i="7"/>
  <c r="H329" i="7"/>
  <c r="G329" i="7"/>
  <c r="H328" i="7"/>
  <c r="G328" i="7"/>
  <c r="H327" i="7"/>
  <c r="H326" i="7"/>
  <c r="G326" i="7"/>
  <c r="F324" i="7"/>
  <c r="I322" i="7" s="1"/>
  <c r="E317" i="7"/>
  <c r="D324" i="7"/>
  <c r="D317" i="7" s="1"/>
  <c r="H323" i="7"/>
  <c r="G323" i="7"/>
  <c r="H322" i="7"/>
  <c r="G322" i="7"/>
  <c r="H321" i="7"/>
  <c r="G321" i="7"/>
  <c r="H319" i="7"/>
  <c r="G319" i="7"/>
  <c r="H318" i="7"/>
  <c r="G318" i="7"/>
  <c r="F317" i="7"/>
  <c r="F314" i="7"/>
  <c r="D314" i="7"/>
  <c r="F313" i="7"/>
  <c r="E313" i="7"/>
  <c r="E306" i="7" s="1"/>
  <c r="D313" i="7"/>
  <c r="H312" i="7"/>
  <c r="G312" i="7"/>
  <c r="H311" i="7"/>
  <c r="G311" i="7"/>
  <c r="H310" i="7"/>
  <c r="G310" i="7"/>
  <c r="H309" i="7"/>
  <c r="G309" i="7"/>
  <c r="H308" i="7"/>
  <c r="G308" i="7"/>
  <c r="H307" i="7"/>
  <c r="G307" i="7"/>
  <c r="H305" i="7"/>
  <c r="G305" i="7"/>
  <c r="F304" i="7"/>
  <c r="F1955" i="7" s="1"/>
  <c r="G1955" i="7" s="1"/>
  <c r="F303" i="7"/>
  <c r="I302" i="7" s="1"/>
  <c r="E303" i="7"/>
  <c r="E289" i="7" s="1"/>
  <c r="D303" i="7"/>
  <c r="D289" i="7" s="1"/>
  <c r="H302" i="7"/>
  <c r="G302" i="7"/>
  <c r="H301" i="7"/>
  <c r="G301" i="7"/>
  <c r="H300" i="7"/>
  <c r="G300" i="7"/>
  <c r="H299" i="7"/>
  <c r="G299" i="7"/>
  <c r="H298" i="7"/>
  <c r="G298" i="7"/>
  <c r="H293" i="7"/>
  <c r="G293" i="7"/>
  <c r="H292" i="7"/>
  <c r="G292" i="7"/>
  <c r="H290" i="7"/>
  <c r="G290" i="7"/>
  <c r="F287" i="7"/>
  <c r="E287" i="7"/>
  <c r="E284" i="7" s="1"/>
  <c r="E283" i="7" s="1"/>
  <c r="D287" i="7"/>
  <c r="D284" i="7" s="1"/>
  <c r="D283" i="7" s="1"/>
  <c r="H286" i="7"/>
  <c r="G286" i="7"/>
  <c r="H285" i="7"/>
  <c r="G285" i="7"/>
  <c r="F283" i="7"/>
  <c r="H281" i="7"/>
  <c r="G281" i="7"/>
  <c r="F280" i="7"/>
  <c r="D280" i="7"/>
  <c r="D1745" i="7" s="1"/>
  <c r="H279" i="7"/>
  <c r="G279" i="7"/>
  <c r="I276" i="7"/>
  <c r="E278" i="7"/>
  <c r="E271" i="7" s="1"/>
  <c r="D278" i="7"/>
  <c r="H276" i="7"/>
  <c r="G276" i="7"/>
  <c r="H275" i="7"/>
  <c r="G275" i="7"/>
  <c r="H274" i="7"/>
  <c r="G274" i="7"/>
  <c r="H273" i="7"/>
  <c r="G273" i="7"/>
  <c r="H272" i="7"/>
  <c r="G272" i="7"/>
  <c r="H270" i="7"/>
  <c r="G270" i="7"/>
  <c r="F269" i="7"/>
  <c r="I268" i="7" s="1"/>
  <c r="E269" i="7"/>
  <c r="E263" i="7" s="1"/>
  <c r="D269" i="7"/>
  <c r="H268" i="7"/>
  <c r="G268" i="7"/>
  <c r="H267" i="7"/>
  <c r="G267" i="7"/>
  <c r="H266" i="7"/>
  <c r="G266" i="7"/>
  <c r="H265" i="7"/>
  <c r="G265" i="7"/>
  <c r="H264" i="7"/>
  <c r="G264" i="7"/>
  <c r="D263" i="7"/>
  <c r="F262" i="7"/>
  <c r="I261" i="7" s="1"/>
  <c r="E262" i="7"/>
  <c r="D262" i="7"/>
  <c r="D253" i="7" s="1"/>
  <c r="D252" i="7" s="1"/>
  <c r="G261" i="7"/>
  <c r="H261" i="7" s="1"/>
  <c r="H260" i="7"/>
  <c r="G260" i="7"/>
  <c r="H259" i="7"/>
  <c r="G259" i="7"/>
  <c r="H258" i="7"/>
  <c r="G258" i="7"/>
  <c r="H257" i="7"/>
  <c r="G257" i="7"/>
  <c r="H256" i="7"/>
  <c r="G256" i="7"/>
  <c r="H255" i="7"/>
  <c r="G255" i="7"/>
  <c r="H254" i="7"/>
  <c r="G254" i="7"/>
  <c r="H251" i="7"/>
  <c r="G251" i="7"/>
  <c r="H221" i="7"/>
  <c r="G221" i="7"/>
  <c r="H220" i="7"/>
  <c r="G220" i="7"/>
  <c r="E219" i="7"/>
  <c r="D219" i="7"/>
  <c r="H218" i="7"/>
  <c r="G218" i="7"/>
  <c r="H217" i="7"/>
  <c r="G217" i="7"/>
  <c r="F216" i="7"/>
  <c r="I217" i="7" s="1"/>
  <c r="E216" i="7"/>
  <c r="D216" i="7"/>
  <c r="H213" i="7"/>
  <c r="G213" i="7"/>
  <c r="H212" i="7"/>
  <c r="G212" i="7"/>
  <c r="H211" i="7"/>
  <c r="G211" i="7"/>
  <c r="F210" i="7"/>
  <c r="I212" i="7" s="1"/>
  <c r="E210" i="7"/>
  <c r="H209" i="7"/>
  <c r="G209" i="7"/>
  <c r="H208" i="7"/>
  <c r="G208" i="7"/>
  <c r="H207" i="7"/>
  <c r="G207" i="7"/>
  <c r="F206" i="7"/>
  <c r="I208" i="7" s="1"/>
  <c r="E206" i="7"/>
  <c r="D206" i="7"/>
  <c r="H205" i="7"/>
  <c r="G205" i="7"/>
  <c r="H204" i="7"/>
  <c r="G204" i="7"/>
  <c r="H203" i="7"/>
  <c r="G203" i="7"/>
  <c r="H202" i="7"/>
  <c r="G202" i="7"/>
  <c r="H201" i="7"/>
  <c r="G201" i="7"/>
  <c r="F200" i="7"/>
  <c r="E200" i="7"/>
  <c r="D200" i="7"/>
  <c r="H199" i="7"/>
  <c r="G199" i="7"/>
  <c r="H198" i="7"/>
  <c r="G198" i="7"/>
  <c r="H197" i="7"/>
  <c r="G197" i="7"/>
  <c r="H196" i="7"/>
  <c r="G196" i="7"/>
  <c r="H195" i="7"/>
  <c r="G195" i="7"/>
  <c r="H194" i="7"/>
  <c r="G194" i="7"/>
  <c r="H193" i="7"/>
  <c r="G193" i="7"/>
  <c r="F192" i="7"/>
  <c r="I194" i="7" s="1"/>
  <c r="E192" i="7"/>
  <c r="D192" i="7"/>
  <c r="H191" i="7"/>
  <c r="G191" i="7"/>
  <c r="H2597" i="7" l="1"/>
  <c r="G2597" i="7"/>
  <c r="E2067" i="7"/>
  <c r="F1310" i="7"/>
  <c r="I1322" i="7" s="1"/>
  <c r="F1323" i="7"/>
  <c r="I1328" i="7" s="1"/>
  <c r="D905" i="7"/>
  <c r="D1021" i="7"/>
  <c r="G2334" i="7"/>
  <c r="E366" i="7"/>
  <c r="E372" i="7" s="1"/>
  <c r="E905" i="7"/>
  <c r="F1745" i="7"/>
  <c r="H1745" i="7" s="1"/>
  <c r="H834" i="7"/>
  <c r="F831" i="7"/>
  <c r="H1098" i="7"/>
  <c r="E1105" i="7"/>
  <c r="H1249" i="7"/>
  <c r="H782" i="7"/>
  <c r="F774" i="7"/>
  <c r="I776" i="7" s="1"/>
  <c r="I872" i="7"/>
  <c r="F905" i="7"/>
  <c r="I896" i="7" s="1"/>
  <c r="H989" i="7"/>
  <c r="I992" i="7"/>
  <c r="F1021" i="7"/>
  <c r="I1012" i="7" s="1"/>
  <c r="E690" i="7"/>
  <c r="I661" i="7"/>
  <c r="F690" i="7"/>
  <c r="I681" i="7" s="1"/>
  <c r="F284" i="7"/>
  <c r="I287" i="7" s="1"/>
  <c r="H1765" i="7"/>
  <c r="H1857" i="7"/>
  <c r="F2400" i="7"/>
  <c r="H2400" i="7" s="1"/>
  <c r="G2286" i="7"/>
  <c r="I970" i="7"/>
  <c r="G1350" i="7"/>
  <c r="G752" i="7"/>
  <c r="H2207" i="7"/>
  <c r="G426" i="7"/>
  <c r="D513" i="7"/>
  <c r="G1917" i="7"/>
  <c r="H2153" i="7"/>
  <c r="E1356" i="7"/>
  <c r="H1356" i="7" s="1"/>
  <c r="G511" i="7"/>
  <c r="G1337" i="7"/>
  <c r="G1519" i="7"/>
  <c r="G2396" i="7"/>
  <c r="I292" i="7"/>
  <c r="H1196" i="7"/>
  <c r="H1358" i="7"/>
  <c r="D1523" i="7"/>
  <c r="F1701" i="7"/>
  <c r="I1698" i="7" s="1"/>
  <c r="G1765" i="7"/>
  <c r="G1857" i="7"/>
  <c r="H1580" i="7"/>
  <c r="D348" i="7"/>
  <c r="G520" i="7"/>
  <c r="G1080" i="7"/>
  <c r="D363" i="7"/>
  <c r="H512" i="7"/>
  <c r="E1250" i="7"/>
  <c r="H1816" i="7"/>
  <c r="G611" i="7"/>
  <c r="H486" i="7"/>
  <c r="H2033" i="7"/>
  <c r="G344" i="7"/>
  <c r="E990" i="7"/>
  <c r="H990" i="7" s="1"/>
  <c r="E1348" i="7"/>
  <c r="G1640" i="7"/>
  <c r="H1976" i="7"/>
  <c r="H2510" i="7"/>
  <c r="D499" i="7"/>
  <c r="F1348" i="7"/>
  <c r="D1582" i="7"/>
  <c r="F339" i="7"/>
  <c r="I344" i="7" s="1"/>
  <c r="E513" i="7"/>
  <c r="E522" i="7"/>
  <c r="G682" i="7"/>
  <c r="E783" i="7"/>
  <c r="F1172" i="7"/>
  <c r="I1153" i="7" s="1"/>
  <c r="G1744" i="7"/>
  <c r="G2030" i="7"/>
  <c r="H682" i="7"/>
  <c r="G1008" i="7"/>
  <c r="H1079" i="7"/>
  <c r="H1167" i="7"/>
  <c r="H2283" i="7"/>
  <c r="D361" i="7"/>
  <c r="D359" i="7" s="1"/>
  <c r="G1768" i="7"/>
  <c r="H1768" i="7"/>
  <c r="H2520" i="7"/>
  <c r="H284" i="7"/>
  <c r="I301" i="7"/>
  <c r="I328" i="7"/>
  <c r="H498" i="7"/>
  <c r="H667" i="7"/>
  <c r="E976" i="7"/>
  <c r="H976" i="7" s="1"/>
  <c r="G1353" i="7"/>
  <c r="D1644" i="7"/>
  <c r="E1769" i="7"/>
  <c r="H510" i="7"/>
  <c r="E1016" i="7"/>
  <c r="H1016" i="7" s="1"/>
  <c r="E1203" i="7"/>
  <c r="H2065" i="7"/>
  <c r="H1620" i="7"/>
  <c r="H1618" i="7"/>
  <c r="H2064" i="7"/>
  <c r="G2064" i="7"/>
  <c r="G1497" i="7"/>
  <c r="G1501" i="7"/>
  <c r="D1797" i="7"/>
  <c r="D1798" i="7" s="1"/>
  <c r="H2115" i="7"/>
  <c r="E1743" i="7"/>
  <c r="E1747" i="7" s="1"/>
  <c r="G484" i="7"/>
  <c r="G502" i="7"/>
  <c r="G505" i="7"/>
  <c r="H523" i="7"/>
  <c r="H721" i="7"/>
  <c r="G1198" i="7"/>
  <c r="D1276" i="7"/>
  <c r="G1920" i="7"/>
  <c r="H2006" i="7"/>
  <c r="G2401" i="7"/>
  <c r="E499" i="7"/>
  <c r="I971" i="7"/>
  <c r="H1353" i="7"/>
  <c r="G1617" i="7"/>
  <c r="G2006" i="7"/>
  <c r="G352" i="7"/>
  <c r="H1521" i="7"/>
  <c r="H1920" i="7"/>
  <c r="H484" i="7"/>
  <c r="H752" i="7"/>
  <c r="D783" i="7"/>
  <c r="D1323" i="7"/>
  <c r="G1323" i="7" s="1"/>
  <c r="G1949" i="7"/>
  <c r="G1953" i="7"/>
  <c r="G2330" i="7"/>
  <c r="D2418" i="7"/>
  <c r="I264" i="7"/>
  <c r="H280" i="7"/>
  <c r="I254" i="7"/>
  <c r="H722" i="7"/>
  <c r="D792" i="7"/>
  <c r="G792" i="7" s="1"/>
  <c r="D821" i="7"/>
  <c r="H1080" i="7"/>
  <c r="E1323" i="7"/>
  <c r="H1323" i="7" s="1"/>
  <c r="G1555" i="7"/>
  <c r="G1674" i="7"/>
  <c r="D1769" i="7"/>
  <c r="H1949" i="7"/>
  <c r="H1953" i="7"/>
  <c r="F2457" i="7"/>
  <c r="I2456" i="7" s="1"/>
  <c r="I329" i="7"/>
  <c r="H371" i="7"/>
  <c r="F499" i="7"/>
  <c r="I501" i="7" s="1"/>
  <c r="G506" i="7"/>
  <c r="H537" i="7"/>
  <c r="H611" i="7"/>
  <c r="G1164" i="7"/>
  <c r="H1264" i="7"/>
  <c r="D1557" i="7"/>
  <c r="G1737" i="7"/>
  <c r="F1769" i="7"/>
  <c r="I1765" i="7" s="1"/>
  <c r="H2235" i="7"/>
  <c r="G2571" i="7"/>
  <c r="I266" i="7"/>
  <c r="G313" i="7"/>
  <c r="H1160" i="7"/>
  <c r="H1552" i="7"/>
  <c r="G1619" i="7"/>
  <c r="D306" i="7"/>
  <c r="H1200" i="7"/>
  <c r="H2090" i="7"/>
  <c r="H2521" i="7"/>
  <c r="F361" i="7"/>
  <c r="F359" i="7" s="1"/>
  <c r="I360" i="7" s="1"/>
  <c r="D517" i="7"/>
  <c r="H1252" i="7"/>
  <c r="G2271" i="7"/>
  <c r="G2332" i="7"/>
  <c r="I310" i="7"/>
  <c r="D522" i="7"/>
  <c r="G1336" i="7"/>
  <c r="H1500" i="7"/>
  <c r="H1520" i="7"/>
  <c r="H1796" i="7"/>
  <c r="F1083" i="7"/>
  <c r="I1079" i="7" s="1"/>
  <c r="I1098" i="7"/>
  <c r="D1258" i="7"/>
  <c r="D1817" i="7"/>
  <c r="G371" i="7"/>
  <c r="H502" i="7"/>
  <c r="H538" i="7"/>
  <c r="H673" i="7"/>
  <c r="H677" i="7"/>
  <c r="I1169" i="7"/>
  <c r="F1203" i="7"/>
  <c r="I1198" i="7" s="1"/>
  <c r="E1817" i="7"/>
  <c r="H1972" i="7"/>
  <c r="H2331" i="7"/>
  <c r="H2511" i="7"/>
  <c r="G509" i="7"/>
  <c r="E534" i="7"/>
  <c r="I973" i="7"/>
  <c r="E1644" i="7"/>
  <c r="D1679" i="7"/>
  <c r="H1812" i="7"/>
  <c r="D1921" i="7"/>
  <c r="G1972" i="7"/>
  <c r="F1977" i="7"/>
  <c r="I1973" i="7" s="1"/>
  <c r="H2117" i="7"/>
  <c r="H2178" i="7"/>
  <c r="H2236" i="7"/>
  <c r="H2285" i="7"/>
  <c r="H2413" i="7"/>
  <c r="H2417" i="7"/>
  <c r="E2549" i="7"/>
  <c r="G519" i="7"/>
  <c r="I683" i="7"/>
  <c r="I878" i="7"/>
  <c r="I1161" i="7"/>
  <c r="H2030" i="7"/>
  <c r="E2240" i="7"/>
  <c r="H992" i="7"/>
  <c r="I1093" i="7"/>
  <c r="E1701" i="7"/>
  <c r="E2011" i="7"/>
  <c r="E2418" i="7"/>
  <c r="I195" i="7"/>
  <c r="I1265" i="7"/>
  <c r="H2179" i="7"/>
  <c r="H2482" i="7"/>
  <c r="I323" i="7"/>
  <c r="I674" i="7"/>
  <c r="I754" i="7"/>
  <c r="H892" i="7"/>
  <c r="F1258" i="7"/>
  <c r="H1258" i="7" s="1"/>
  <c r="E1502" i="7"/>
  <c r="E1503" i="7" s="1"/>
  <c r="D2212" i="7"/>
  <c r="I1101" i="7"/>
  <c r="G1764" i="7"/>
  <c r="E2212" i="7"/>
  <c r="H2211" i="7"/>
  <c r="H2238" i="7"/>
  <c r="H2333" i="7"/>
  <c r="E2572" i="7"/>
  <c r="D507" i="7"/>
  <c r="I633" i="7"/>
  <c r="I974" i="7"/>
  <c r="E2094" i="7"/>
  <c r="F2212" i="7"/>
  <c r="I2208" i="7" s="1"/>
  <c r="E2335" i="7"/>
  <c r="H501" i="7"/>
  <c r="G640" i="7"/>
  <c r="I972" i="7"/>
  <c r="G1001" i="7"/>
  <c r="E1008" i="7"/>
  <c r="H1008" i="7" s="1"/>
  <c r="G1013" i="7"/>
  <c r="G1280" i="7"/>
  <c r="F1582" i="7"/>
  <c r="I1581" i="7" s="1"/>
  <c r="G337" i="7"/>
  <c r="G798" i="7"/>
  <c r="G1254" i="7"/>
  <c r="G1273" i="7"/>
  <c r="G428" i="7"/>
  <c r="H1254" i="7"/>
  <c r="H1578" i="7"/>
  <c r="G1816" i="7"/>
  <c r="G1976" i="7"/>
  <c r="D2034" i="7"/>
  <c r="G2033" i="7"/>
  <c r="G2284" i="7"/>
  <c r="G2331" i="7"/>
  <c r="H2454" i="7"/>
  <c r="E2602" i="7"/>
  <c r="H269" i="7"/>
  <c r="I273" i="7"/>
  <c r="H313" i="7"/>
  <c r="I319" i="7"/>
  <c r="G324" i="7"/>
  <c r="H336" i="7"/>
  <c r="H343" i="7"/>
  <c r="H352" i="7"/>
  <c r="G429" i="7"/>
  <c r="G501" i="7"/>
  <c r="H519" i="7"/>
  <c r="I741" i="7"/>
  <c r="I764" i="7"/>
  <c r="I901" i="7"/>
  <c r="G958" i="7"/>
  <c r="G1009" i="7"/>
  <c r="I1142" i="7"/>
  <c r="G1197" i="7"/>
  <c r="H1255" i="7"/>
  <c r="H1269" i="7"/>
  <c r="H1351" i="7"/>
  <c r="G1521" i="7"/>
  <c r="H1764" i="7"/>
  <c r="H2004" i="7"/>
  <c r="G2179" i="7"/>
  <c r="G2236" i="7"/>
  <c r="H2571" i="7"/>
  <c r="E2605" i="7"/>
  <c r="G210" i="7"/>
  <c r="I324" i="7"/>
  <c r="I352" i="7"/>
  <c r="I484" i="7"/>
  <c r="G512" i="7"/>
  <c r="I626" i="7"/>
  <c r="H723" i="7"/>
  <c r="I958" i="7"/>
  <c r="I1009" i="7"/>
  <c r="I1092" i="7"/>
  <c r="I1102" i="7"/>
  <c r="I1170" i="7"/>
  <c r="H1197" i="7"/>
  <c r="D1333" i="7"/>
  <c r="D1348" i="7"/>
  <c r="F1798" i="7"/>
  <c r="I1795" i="7" s="1"/>
  <c r="E1860" i="7"/>
  <c r="E1921" i="7"/>
  <c r="D2094" i="7"/>
  <c r="D2335" i="7"/>
  <c r="I308" i="7"/>
  <c r="I311" i="7"/>
  <c r="I686" i="7"/>
  <c r="D739" i="7"/>
  <c r="G739" i="7" s="1"/>
  <c r="I750" i="7"/>
  <c r="F765" i="7"/>
  <c r="I768" i="7" s="1"/>
  <c r="G824" i="7"/>
  <c r="I827" i="7"/>
  <c r="I975" i="7"/>
  <c r="H1331" i="7"/>
  <c r="F1333" i="7"/>
  <c r="I1339" i="7" s="1"/>
  <c r="F1523" i="7"/>
  <c r="I1522" i="7" s="1"/>
  <c r="H1814" i="7"/>
  <c r="G2511" i="7"/>
  <c r="G2568" i="7"/>
  <c r="D2572" i="7"/>
  <c r="G2627" i="7"/>
  <c r="I218" i="7"/>
  <c r="G262" i="7"/>
  <c r="I279" i="7"/>
  <c r="G317" i="7"/>
  <c r="G430" i="7"/>
  <c r="I742" i="7"/>
  <c r="H1078" i="7"/>
  <c r="I1143" i="7"/>
  <c r="H1522" i="7"/>
  <c r="H1555" i="7"/>
  <c r="G1814" i="7"/>
  <c r="E2034" i="7"/>
  <c r="H2119" i="7"/>
  <c r="D2457" i="7"/>
  <c r="E2632" i="7"/>
  <c r="F253" i="7"/>
  <c r="G253" i="7" s="1"/>
  <c r="D271" i="7"/>
  <c r="I275" i="7"/>
  <c r="I333" i="7"/>
  <c r="I337" i="7"/>
  <c r="I353" i="7"/>
  <c r="G523" i="7"/>
  <c r="G538" i="7"/>
  <c r="I660" i="7"/>
  <c r="I803" i="7"/>
  <c r="G825" i="7"/>
  <c r="I870" i="7"/>
  <c r="I899" i="7"/>
  <c r="H969" i="7"/>
  <c r="H1001" i="7"/>
  <c r="G1078" i="7"/>
  <c r="H1917" i="7"/>
  <c r="H1945" i="7"/>
  <c r="E2120" i="7"/>
  <c r="E2121" i="7" s="1"/>
  <c r="E2287" i="7"/>
  <c r="G2333" i="7"/>
  <c r="H2452" i="7"/>
  <c r="D2483" i="7"/>
  <c r="I258" i="7"/>
  <c r="I267" i="7"/>
  <c r="G280" i="7"/>
  <c r="G427" i="7"/>
  <c r="F534" i="7"/>
  <c r="I538" i="7" s="1"/>
  <c r="H608" i="7"/>
  <c r="I628" i="7"/>
  <c r="H725" i="7"/>
  <c r="I743" i="7"/>
  <c r="I761" i="7"/>
  <c r="D829" i="7"/>
  <c r="G829" i="7" s="1"/>
  <c r="E1004" i="7"/>
  <c r="G1079" i="7"/>
  <c r="I1144" i="7"/>
  <c r="H1198" i="7"/>
  <c r="G1324" i="7"/>
  <c r="H1519" i="7"/>
  <c r="F1644" i="7"/>
  <c r="I1643" i="7" s="1"/>
  <c r="D1701" i="7"/>
  <c r="E2483" i="7"/>
  <c r="G192" i="7"/>
  <c r="I309" i="7"/>
  <c r="I312" i="7"/>
  <c r="G514" i="7"/>
  <c r="G725" i="7"/>
  <c r="G748" i="7"/>
  <c r="G782" i="7"/>
  <c r="I801" i="7"/>
  <c r="I1015" i="7"/>
  <c r="E1083" i="7"/>
  <c r="F2067" i="7"/>
  <c r="I2064" i="7" s="1"/>
  <c r="D2154" i="7"/>
  <c r="G2285" i="7"/>
  <c r="F2483" i="7"/>
  <c r="I2482" i="7" s="1"/>
  <c r="H192" i="7"/>
  <c r="G216" i="7"/>
  <c r="D534" i="7"/>
  <c r="I904" i="7"/>
  <c r="G1252" i="7"/>
  <c r="G1260" i="7"/>
  <c r="F1268" i="7"/>
  <c r="I1270" i="7" s="1"/>
  <c r="E1276" i="7"/>
  <c r="E1281" i="7" s="1"/>
  <c r="G1812" i="7"/>
  <c r="G2061" i="7"/>
  <c r="E2154" i="7"/>
  <c r="H2415" i="7"/>
  <c r="H216" i="7"/>
  <c r="I272" i="7"/>
  <c r="H331" i="7"/>
  <c r="D2598" i="7"/>
  <c r="H505" i="7"/>
  <c r="H536" i="7"/>
  <c r="I740" i="7"/>
  <c r="I744" i="7"/>
  <c r="I756" i="7"/>
  <c r="I762" i="7"/>
  <c r="D765" i="7"/>
  <c r="H877" i="7"/>
  <c r="H897" i="7"/>
  <c r="H1013" i="7"/>
  <c r="G1331" i="7"/>
  <c r="I1354" i="7"/>
  <c r="G1956" i="7"/>
  <c r="H2061" i="7"/>
  <c r="F2154" i="7"/>
  <c r="I2153" i="7" s="1"/>
  <c r="D339" i="7"/>
  <c r="I1332" i="7"/>
  <c r="G1339" i="7"/>
  <c r="G1553" i="7"/>
  <c r="G1741" i="7"/>
  <c r="G2062" i="7"/>
  <c r="E2180" i="7"/>
  <c r="F2240" i="7"/>
  <c r="I2235" i="7" s="1"/>
  <c r="G2283" i="7"/>
  <c r="E2399" i="7"/>
  <c r="E2403" i="7" s="1"/>
  <c r="D2512" i="7"/>
  <c r="E2603" i="7"/>
  <c r="I193" i="7"/>
  <c r="E224" i="7"/>
  <c r="I307" i="7"/>
  <c r="D677" i="7"/>
  <c r="G677" i="7" s="1"/>
  <c r="D727" i="7"/>
  <c r="I826" i="7"/>
  <c r="G877" i="7"/>
  <c r="H958" i="7"/>
  <c r="I999" i="7"/>
  <c r="H1105" i="7"/>
  <c r="D1250" i="7"/>
  <c r="H1332" i="7"/>
  <c r="H1501" i="7"/>
  <c r="H1553" i="7"/>
  <c r="H1577" i="7"/>
  <c r="D1621" i="7"/>
  <c r="D1623" i="7" s="1"/>
  <c r="G1697" i="7"/>
  <c r="F1817" i="7"/>
  <c r="I1816" i="7" s="1"/>
  <c r="E1977" i="7"/>
  <c r="H2208" i="7"/>
  <c r="F2399" i="7"/>
  <c r="G2479" i="7"/>
  <c r="E2512" i="7"/>
  <c r="H1617" i="7"/>
  <c r="G1947" i="7"/>
  <c r="G1951" i="7"/>
  <c r="G1739" i="7"/>
  <c r="H1947" i="7"/>
  <c r="H1951" i="7"/>
  <c r="D1502" i="7"/>
  <c r="D1503" i="7" s="1"/>
  <c r="D2067" i="7"/>
  <c r="H1497" i="7"/>
  <c r="G1796" i="7"/>
  <c r="D1954" i="7"/>
  <c r="D1957" i="7" s="1"/>
  <c r="E1954" i="7"/>
  <c r="E1957" i="7" s="1"/>
  <c r="G2004" i="7"/>
  <c r="H1498" i="7"/>
  <c r="D1743" i="7"/>
  <c r="D1747" i="7" s="1"/>
  <c r="G1495" i="7"/>
  <c r="H1619" i="7"/>
  <c r="H1495" i="7"/>
  <c r="F1621" i="7"/>
  <c r="I1619" i="7" s="1"/>
  <c r="I1741" i="7"/>
  <c r="G1945" i="7"/>
  <c r="G2002" i="7"/>
  <c r="G2063" i="7"/>
  <c r="G1499" i="7"/>
  <c r="G1795" i="7"/>
  <c r="H2063" i="7"/>
  <c r="H1499" i="7"/>
  <c r="H1795" i="7"/>
  <c r="H206" i="7"/>
  <c r="I550" i="7"/>
  <c r="G556" i="7"/>
  <c r="I554" i="7"/>
  <c r="I551" i="7"/>
  <c r="I553" i="7"/>
  <c r="I552" i="7"/>
  <c r="D224" i="7"/>
  <c r="H210" i="7"/>
  <c r="H287" i="7"/>
  <c r="G287" i="7"/>
  <c r="I286" i="7"/>
  <c r="I285" i="7"/>
  <c r="D2178" i="7"/>
  <c r="D2180" i="7" s="1"/>
  <c r="D335" i="7"/>
  <c r="G333" i="7"/>
  <c r="D2116" i="7"/>
  <c r="G327" i="7"/>
  <c r="H222" i="7"/>
  <c r="F219" i="7"/>
  <c r="I223" i="7" s="1"/>
  <c r="E253" i="7"/>
  <c r="E252" i="7" s="1"/>
  <c r="G222" i="7"/>
  <c r="G284" i="7"/>
  <c r="I298" i="7"/>
  <c r="I207" i="7"/>
  <c r="I201" i="7"/>
  <c r="H200" i="7"/>
  <c r="H223" i="7"/>
  <c r="G223" i="7"/>
  <c r="D350" i="7"/>
  <c r="G350" i="7" s="1"/>
  <c r="G200" i="7"/>
  <c r="H262" i="7"/>
  <c r="H253" i="7" s="1"/>
  <c r="I274" i="7"/>
  <c r="H278" i="7"/>
  <c r="G278" i="7"/>
  <c r="F271" i="7"/>
  <c r="I278" i="7" s="1"/>
  <c r="I290" i="7"/>
  <c r="I293" i="7"/>
  <c r="H303" i="7"/>
  <c r="F289" i="7"/>
  <c r="G303" i="7"/>
  <c r="I300" i="7"/>
  <c r="I299" i="7"/>
  <c r="G314" i="7"/>
  <c r="F306" i="7"/>
  <c r="H360" i="7"/>
  <c r="H368" i="7"/>
  <c r="G368" i="7"/>
  <c r="H509" i="7"/>
  <c r="E507" i="7"/>
  <c r="E339" i="7"/>
  <c r="H344" i="7"/>
  <c r="I284" i="7"/>
  <c r="G283" i="7"/>
  <c r="E316" i="7"/>
  <c r="H361" i="7"/>
  <c r="H515" i="7"/>
  <c r="G515" i="7"/>
  <c r="H283" i="7"/>
  <c r="I202" i="7"/>
  <c r="G206" i="7"/>
  <c r="H317" i="7"/>
  <c r="F2596" i="7"/>
  <c r="H365" i="7"/>
  <c r="G365" i="7"/>
  <c r="F348" i="7"/>
  <c r="F366" i="7" s="1"/>
  <c r="G961" i="7"/>
  <c r="I959" i="7"/>
  <c r="I960" i="7"/>
  <c r="G1196" i="7"/>
  <c r="D1203" i="7"/>
  <c r="H1313" i="7"/>
  <c r="G1346" i="7"/>
  <c r="H1346" i="7"/>
  <c r="I255" i="7"/>
  <c r="I259" i="7"/>
  <c r="H324" i="7"/>
  <c r="I326" i="7"/>
  <c r="H335" i="7"/>
  <c r="H337" i="7"/>
  <c r="I481" i="7"/>
  <c r="H511" i="7"/>
  <c r="E765" i="7"/>
  <c r="G786" i="7"/>
  <c r="F783" i="7"/>
  <c r="I787" i="7" s="1"/>
  <c r="G883" i="7"/>
  <c r="I885" i="7"/>
  <c r="I884" i="7"/>
  <c r="H883" i="7"/>
  <c r="H961" i="7"/>
  <c r="G973" i="7"/>
  <c r="D976" i="7"/>
  <c r="G976" i="7" s="1"/>
  <c r="H1256" i="7"/>
  <c r="G1256" i="7"/>
  <c r="F2524" i="7"/>
  <c r="H1278" i="7"/>
  <c r="G1278" i="7"/>
  <c r="F1276" i="7"/>
  <c r="I1280" i="7" s="1"/>
  <c r="G1321" i="7"/>
  <c r="H1321" i="7"/>
  <c r="E517" i="7"/>
  <c r="H524" i="7"/>
  <c r="G524" i="7"/>
  <c r="I793" i="7"/>
  <c r="I795" i="7"/>
  <c r="H792" i="7"/>
  <c r="I794" i="7"/>
  <c r="G503" i="7"/>
  <c r="I518" i="7"/>
  <c r="G518" i="7"/>
  <c r="E613" i="7"/>
  <c r="I808" i="7"/>
  <c r="H808" i="7"/>
  <c r="G808" i="7"/>
  <c r="H1950" i="7"/>
  <c r="G1950" i="7"/>
  <c r="F1954" i="7"/>
  <c r="I1952" i="7" s="1"/>
  <c r="I260" i="7"/>
  <c r="I318" i="7"/>
  <c r="I482" i="7"/>
  <c r="H503" i="7"/>
  <c r="H518" i="7"/>
  <c r="H520" i="7"/>
  <c r="G535" i="7"/>
  <c r="G537" i="7"/>
  <c r="H609" i="7"/>
  <c r="G667" i="7"/>
  <c r="I669" i="7"/>
  <c r="I668" i="7"/>
  <c r="E727" i="7"/>
  <c r="H739" i="7"/>
  <c r="D799" i="7"/>
  <c r="G799" i="7" s="1"/>
  <c r="F325" i="7"/>
  <c r="F316" i="7" s="1"/>
  <c r="H535" i="7"/>
  <c r="H659" i="7"/>
  <c r="I662" i="7"/>
  <c r="G659" i="7"/>
  <c r="H787" i="7"/>
  <c r="G787" i="7"/>
  <c r="I797" i="7"/>
  <c r="I256" i="7"/>
  <c r="I330" i="7"/>
  <c r="H2548" i="7"/>
  <c r="G2548" i="7"/>
  <c r="F263" i="7"/>
  <c r="G269" i="7"/>
  <c r="F332" i="7"/>
  <c r="G336" i="7"/>
  <c r="G343" i="7"/>
  <c r="G362" i="7"/>
  <c r="I485" i="7"/>
  <c r="G500" i="7"/>
  <c r="G516" i="7"/>
  <c r="H607" i="7"/>
  <c r="G639" i="7"/>
  <c r="G723" i="7"/>
  <c r="E748" i="7"/>
  <c r="H775" i="7"/>
  <c r="G796" i="7"/>
  <c r="D1083" i="7"/>
  <c r="H1740" i="7"/>
  <c r="G1740" i="7"/>
  <c r="I211" i="7"/>
  <c r="I265" i="7"/>
  <c r="I340" i="7"/>
  <c r="F513" i="7"/>
  <c r="G607" i="7"/>
  <c r="F613" i="7"/>
  <c r="I257" i="7"/>
  <c r="I281" i="7"/>
  <c r="H362" i="7"/>
  <c r="E432" i="7"/>
  <c r="H430" i="7" s="1"/>
  <c r="I483" i="7"/>
  <c r="D486" i="7"/>
  <c r="G486" i="7" s="1"/>
  <c r="G498" i="7"/>
  <c r="H500" i="7"/>
  <c r="H514" i="7"/>
  <c r="H516" i="7"/>
  <c r="I751" i="7"/>
  <c r="H796" i="7"/>
  <c r="G822" i="7"/>
  <c r="F821" i="7"/>
  <c r="H869" i="7"/>
  <c r="I1330" i="7"/>
  <c r="I1327" i="7"/>
  <c r="I1329" i="7"/>
  <c r="I1326" i="7"/>
  <c r="I1579" i="7"/>
  <c r="F507" i="7"/>
  <c r="I508" i="7" s="1"/>
  <c r="H508" i="7"/>
  <c r="G832" i="7"/>
  <c r="F430" i="7"/>
  <c r="F432" i="7" s="1"/>
  <c r="G508" i="7"/>
  <c r="I1006" i="7"/>
  <c r="G1004" i="7"/>
  <c r="F1250" i="7"/>
  <c r="H1253" i="7"/>
  <c r="G1253" i="7"/>
  <c r="H1675" i="7"/>
  <c r="G1675" i="7"/>
  <c r="E349" i="7"/>
  <c r="G367" i="7"/>
  <c r="I480" i="7"/>
  <c r="G504" i="7"/>
  <c r="H506" i="7"/>
  <c r="I679" i="7"/>
  <c r="I678" i="7"/>
  <c r="I782" i="7"/>
  <c r="H803" i="7"/>
  <c r="E799" i="7"/>
  <c r="H799" i="7" s="1"/>
  <c r="D1172" i="7"/>
  <c r="G1141" i="7"/>
  <c r="H504" i="7"/>
  <c r="F522" i="7"/>
  <c r="I524" i="7" s="1"/>
  <c r="E556" i="7"/>
  <c r="H556" i="7" s="1"/>
  <c r="H552" i="7"/>
  <c r="H685" i="7"/>
  <c r="I688" i="7"/>
  <c r="G685" i="7"/>
  <c r="I687" i="7"/>
  <c r="I830" i="7"/>
  <c r="H829" i="7"/>
  <c r="I834" i="7"/>
  <c r="G834" i="7"/>
  <c r="G990" i="7"/>
  <c r="G1016" i="7"/>
  <c r="G1167" i="7"/>
  <c r="H1859" i="7"/>
  <c r="G1859" i="7"/>
  <c r="H2631" i="7"/>
  <c r="G2631" i="7"/>
  <c r="E1523" i="7"/>
  <c r="H1518" i="7"/>
  <c r="E1621" i="7"/>
  <c r="E1623" i="7" s="1"/>
  <c r="H1616" i="7"/>
  <c r="I745" i="7"/>
  <c r="H810" i="7"/>
  <c r="E825" i="7"/>
  <c r="H825" i="7" s="1"/>
  <c r="I871" i="7"/>
  <c r="G1105" i="7"/>
  <c r="H1260" i="7"/>
  <c r="H1273" i="7"/>
  <c r="H1280" i="7"/>
  <c r="H1324" i="7"/>
  <c r="F2011" i="7"/>
  <c r="I625" i="7"/>
  <c r="I629" i="7"/>
  <c r="G722" i="7"/>
  <c r="I753" i="7"/>
  <c r="I760" i="7"/>
  <c r="G823" i="7"/>
  <c r="G869" i="7"/>
  <c r="G897" i="7"/>
  <c r="I1095" i="7"/>
  <c r="G1160" i="7"/>
  <c r="I1165" i="7"/>
  <c r="G1271" i="7"/>
  <c r="I1324" i="7"/>
  <c r="I902" i="7"/>
  <c r="I993" i="7"/>
  <c r="I1000" i="7"/>
  <c r="I1019" i="7"/>
  <c r="I1171" i="7"/>
  <c r="E1333" i="7"/>
  <c r="H1337" i="7"/>
  <c r="H1738" i="7"/>
  <c r="G1738" i="7"/>
  <c r="H1856" i="7"/>
  <c r="G1856" i="7"/>
  <c r="F1860" i="7"/>
  <c r="G900" i="7"/>
  <c r="G998" i="7"/>
  <c r="I1091" i="7"/>
  <c r="I1099" i="7"/>
  <c r="H1141" i="7"/>
  <c r="I1266" i="7"/>
  <c r="H1622" i="7"/>
  <c r="G1622" i="7"/>
  <c r="H1742" i="7"/>
  <c r="G1742" i="7"/>
  <c r="H2003" i="7"/>
  <c r="G2003" i="7"/>
  <c r="H2007" i="7"/>
  <c r="G2007" i="7"/>
  <c r="D2287" i="7"/>
  <c r="G2282" i="7"/>
  <c r="F727" i="7"/>
  <c r="I721" i="7" s="1"/>
  <c r="I746" i="7"/>
  <c r="G772" i="7"/>
  <c r="I894" i="7"/>
  <c r="H900" i="7"/>
  <c r="H998" i="7"/>
  <c r="E1164" i="7"/>
  <c r="H1164" i="7" s="1"/>
  <c r="H1166" i="7"/>
  <c r="G1255" i="7"/>
  <c r="H2239" i="7"/>
  <c r="G2239" i="7"/>
  <c r="I1274" i="7"/>
  <c r="D2240" i="7"/>
  <c r="D2525" i="7"/>
  <c r="D2549" i="7"/>
  <c r="G510" i="7"/>
  <c r="G536" i="7"/>
  <c r="G673" i="7"/>
  <c r="G679" i="7"/>
  <c r="G721" i="7"/>
  <c r="G770" i="7"/>
  <c r="G892" i="7"/>
  <c r="I991" i="7"/>
  <c r="I1017" i="7"/>
  <c r="I1166" i="7"/>
  <c r="G1200" i="7"/>
  <c r="G1264" i="7"/>
  <c r="G1269" i="7"/>
  <c r="E1557" i="7"/>
  <c r="I1580" i="7"/>
  <c r="H1948" i="7"/>
  <c r="G1948" i="7"/>
  <c r="H1952" i="7"/>
  <c r="G1952" i="7"/>
  <c r="H1975" i="7"/>
  <c r="G1975" i="7"/>
  <c r="E2457" i="7"/>
  <c r="H2457" i="7" s="1"/>
  <c r="H1639" i="7"/>
  <c r="G1639" i="7"/>
  <c r="H2010" i="7"/>
  <c r="G2010" i="7"/>
  <c r="F2009" i="7"/>
  <c r="I627" i="7"/>
  <c r="I632" i="7"/>
  <c r="I800" i="7"/>
  <c r="I1020" i="7"/>
  <c r="D1268" i="7"/>
  <c r="E1582" i="7"/>
  <c r="H1582" i="7" s="1"/>
  <c r="E1679" i="7"/>
  <c r="H1696" i="7"/>
  <c r="G1696" i="7"/>
  <c r="D1860" i="7"/>
  <c r="G1973" i="7"/>
  <c r="D1977" i="7"/>
  <c r="H2005" i="7"/>
  <c r="G2005" i="7"/>
  <c r="G1577" i="7"/>
  <c r="H1640" i="7"/>
  <c r="H1674" i="7"/>
  <c r="H1697" i="7"/>
  <c r="H1737" i="7"/>
  <c r="H1739" i="7"/>
  <c r="H1741" i="7"/>
  <c r="H1855" i="7"/>
  <c r="H2002" i="7"/>
  <c r="G2207" i="7"/>
  <c r="F2272" i="7"/>
  <c r="F2287" i="7"/>
  <c r="I2284" i="7" s="1"/>
  <c r="F2335" i="7"/>
  <c r="I2334" i="7" s="1"/>
  <c r="G2520" i="7"/>
  <c r="E2525" i="7"/>
  <c r="I1353" i="7"/>
  <c r="G1332" i="7"/>
  <c r="G1580" i="7"/>
  <c r="F2094" i="7"/>
  <c r="I2089" i="7" s="1"/>
  <c r="F2120" i="7"/>
  <c r="F2418" i="7"/>
  <c r="H2479" i="7"/>
  <c r="G2567" i="7"/>
  <c r="G2628" i="7"/>
  <c r="G2066" i="7"/>
  <c r="G2089" i="7"/>
  <c r="G2118" i="7"/>
  <c r="G2150" i="7"/>
  <c r="G2398" i="7"/>
  <c r="G2414" i="7"/>
  <c r="G2416" i="7"/>
  <c r="G2453" i="7"/>
  <c r="G2455" i="7"/>
  <c r="H2567" i="7"/>
  <c r="F2572" i="7"/>
  <c r="I2568" i="7" s="1"/>
  <c r="H2628" i="7"/>
  <c r="H1339" i="7"/>
  <c r="F1502" i="7"/>
  <c r="I1496" i="7" s="1"/>
  <c r="F1557" i="7"/>
  <c r="H1744" i="7"/>
  <c r="G2029" i="7"/>
  <c r="H2066" i="7"/>
  <c r="H2089" i="7"/>
  <c r="H2116" i="7"/>
  <c r="H2118" i="7"/>
  <c r="H2150" i="7"/>
  <c r="F2180" i="7"/>
  <c r="I2178" i="7" s="1"/>
  <c r="H2237" i="7"/>
  <c r="H2398" i="7"/>
  <c r="H2414" i="7"/>
  <c r="H2416" i="7"/>
  <c r="H2453" i="7"/>
  <c r="H2455" i="7"/>
  <c r="F2512" i="7"/>
  <c r="G1494" i="7"/>
  <c r="G1496" i="7"/>
  <c r="G1498" i="7"/>
  <c r="G1500" i="7"/>
  <c r="G1518" i="7"/>
  <c r="G1520" i="7"/>
  <c r="G1522" i="7"/>
  <c r="G1552" i="7"/>
  <c r="G1578" i="7"/>
  <c r="G1616" i="7"/>
  <c r="G1618" i="7"/>
  <c r="G1620" i="7"/>
  <c r="E1798" i="7"/>
  <c r="H2029" i="7"/>
  <c r="F2034" i="7"/>
  <c r="I2029" i="7" s="1"/>
  <c r="G2153" i="7"/>
  <c r="G2208" i="7"/>
  <c r="G2211" i="7"/>
  <c r="G2235" i="7"/>
  <c r="G2482" i="7"/>
  <c r="G2510" i="7"/>
  <c r="G2521" i="7"/>
  <c r="D2632" i="7"/>
  <c r="H1494" i="7"/>
  <c r="H1496" i="7"/>
  <c r="F1921" i="7"/>
  <c r="F2549" i="7"/>
  <c r="I2548" i="7" s="1"/>
  <c r="G1356" i="7"/>
  <c r="I1366" i="7"/>
  <c r="G1813" i="7"/>
  <c r="G1916" i="7"/>
  <c r="H1973" i="7"/>
  <c r="D2008" i="7"/>
  <c r="D2011" i="7"/>
  <c r="H2062" i="7"/>
  <c r="H2271" i="7"/>
  <c r="H2282" i="7"/>
  <c r="H2284" i="7"/>
  <c r="H2286" i="7"/>
  <c r="H2330" i="7"/>
  <c r="H2332" i="7"/>
  <c r="H2334" i="7"/>
  <c r="H2396" i="7"/>
  <c r="G2478" i="7"/>
  <c r="G2480" i="7"/>
  <c r="G2547" i="7"/>
  <c r="F2632" i="7"/>
  <c r="I2627" i="7" s="1"/>
  <c r="G1358" i="7"/>
  <c r="H1813" i="7"/>
  <c r="H1916" i="7"/>
  <c r="E2008" i="7"/>
  <c r="H2478" i="7"/>
  <c r="H2480" i="7"/>
  <c r="H2547" i="7"/>
  <c r="F1679" i="7"/>
  <c r="F1743" i="7"/>
  <c r="I1742" i="7" s="1"/>
  <c r="F2008" i="7"/>
  <c r="G2065" i="7"/>
  <c r="G2090" i="7"/>
  <c r="G2115" i="7"/>
  <c r="G2117" i="7"/>
  <c r="G2119" i="7"/>
  <c r="G2149" i="7"/>
  <c r="G2238" i="7"/>
  <c r="H2401" i="7"/>
  <c r="G2413" i="7"/>
  <c r="G2415" i="7"/>
  <c r="G2417" i="7"/>
  <c r="G2452" i="7"/>
  <c r="G2454" i="7"/>
  <c r="H2568" i="7"/>
  <c r="H2627" i="7"/>
  <c r="G1855" i="7"/>
  <c r="H2149" i="7"/>
  <c r="I1001" i="7" l="1"/>
  <c r="I1746" i="7"/>
  <c r="G1745" i="7"/>
  <c r="I664" i="7"/>
  <c r="E1021" i="7"/>
  <c r="I1320" i="7"/>
  <c r="F1281" i="7"/>
  <c r="I1197" i="7"/>
  <c r="I1145" i="7"/>
  <c r="H1977" i="7"/>
  <c r="G1083" i="7"/>
  <c r="I2452" i="7"/>
  <c r="I640" i="7"/>
  <c r="I869" i="7"/>
  <c r="F370" i="7"/>
  <c r="H370" i="7" s="1"/>
  <c r="E1172" i="7"/>
  <c r="D1281" i="7"/>
  <c r="D539" i="7"/>
  <c r="G1582" i="7"/>
  <c r="D690" i="7"/>
  <c r="G690" i="7" s="1"/>
  <c r="D2120" i="7"/>
  <c r="D2121" i="7" s="1"/>
  <c r="I1974" i="7"/>
  <c r="I1766" i="7"/>
  <c r="H1769" i="7"/>
  <c r="H1701" i="7"/>
  <c r="I1696" i="7"/>
  <c r="I1972" i="7"/>
  <c r="G2400" i="7"/>
  <c r="I1340" i="7"/>
  <c r="I1764" i="7"/>
  <c r="I1521" i="7"/>
  <c r="H339" i="7"/>
  <c r="I673" i="7"/>
  <c r="I2455" i="7"/>
  <c r="I1338" i="7"/>
  <c r="I1699" i="7"/>
  <c r="I1167" i="7"/>
  <c r="I1141" i="7"/>
  <c r="I500" i="7"/>
  <c r="I1154" i="7"/>
  <c r="I995" i="7"/>
  <c r="I1082" i="7"/>
  <c r="I1697" i="7"/>
  <c r="I1148" i="7"/>
  <c r="I1080" i="7"/>
  <c r="I2236" i="7"/>
  <c r="I1520" i="7"/>
  <c r="I2237" i="7"/>
  <c r="G1523" i="7"/>
  <c r="I658" i="7"/>
  <c r="I1334" i="7"/>
  <c r="I1199" i="7"/>
  <c r="I1337" i="7"/>
  <c r="I685" i="7"/>
  <c r="I1196" i="7"/>
  <c r="I769" i="7"/>
  <c r="G534" i="7"/>
  <c r="I1640" i="7"/>
  <c r="I1642" i="7"/>
  <c r="G1769" i="7"/>
  <c r="I535" i="7"/>
  <c r="G1701" i="7"/>
  <c r="I1767" i="7"/>
  <c r="I990" i="7"/>
  <c r="F1623" i="7"/>
  <c r="I1622" i="7" s="1"/>
  <c r="I1200" i="7"/>
  <c r="I2207" i="7"/>
  <c r="H1203" i="7"/>
  <c r="G2399" i="7"/>
  <c r="G339" i="7"/>
  <c r="H534" i="7"/>
  <c r="I1518" i="7"/>
  <c r="I1578" i="7"/>
  <c r="I1147" i="7"/>
  <c r="I1519" i="7"/>
  <c r="I1577" i="7"/>
  <c r="I1140" i="7"/>
  <c r="D370" i="7"/>
  <c r="D369" i="7" s="1"/>
  <c r="H1523" i="7"/>
  <c r="I1156" i="7"/>
  <c r="I1163" i="7"/>
  <c r="H1083" i="7"/>
  <c r="I671" i="7"/>
  <c r="G1977" i="7"/>
  <c r="I1975" i="7"/>
  <c r="I1150" i="7"/>
  <c r="I666" i="7"/>
  <c r="I2238" i="7"/>
  <c r="I1269" i="7"/>
  <c r="I1976" i="7"/>
  <c r="G1268" i="7"/>
  <c r="H2483" i="7"/>
  <c r="G1172" i="7"/>
  <c r="I1202" i="7"/>
  <c r="I1149" i="7"/>
  <c r="I670" i="7"/>
  <c r="G2240" i="7"/>
  <c r="I1002" i="7"/>
  <c r="I2478" i="7"/>
  <c r="I2454" i="7"/>
  <c r="I2211" i="7"/>
  <c r="I1700" i="7"/>
  <c r="I667" i="7"/>
  <c r="G1203" i="7"/>
  <c r="I1159" i="7"/>
  <c r="H499" i="7"/>
  <c r="H1348" i="7"/>
  <c r="H2240" i="7"/>
  <c r="I2239" i="7"/>
  <c r="H2154" i="7"/>
  <c r="I1008" i="7"/>
  <c r="I1004" i="7"/>
  <c r="I997" i="7"/>
  <c r="I771" i="7"/>
  <c r="G2457" i="7"/>
  <c r="F349" i="7"/>
  <c r="F347" i="7" s="1"/>
  <c r="I348" i="7" s="1"/>
  <c r="I1013" i="7"/>
  <c r="I773" i="7"/>
  <c r="I362" i="7"/>
  <c r="G1798" i="7"/>
  <c r="I1768" i="7"/>
  <c r="I772" i="7"/>
  <c r="I989" i="7"/>
  <c r="G361" i="7"/>
  <c r="H1644" i="7"/>
  <c r="I2150" i="7"/>
  <c r="I2149" i="7"/>
  <c r="G1258" i="7"/>
  <c r="I996" i="7"/>
  <c r="I1349" i="7"/>
  <c r="I1259" i="7"/>
  <c r="I1007" i="7"/>
  <c r="I2453" i="7"/>
  <c r="I1350" i="7"/>
  <c r="G2483" i="7"/>
  <c r="I770" i="7"/>
  <c r="I994" i="7"/>
  <c r="I976" i="7"/>
  <c r="D349" i="7"/>
  <c r="H1021" i="7"/>
  <c r="I2481" i="7"/>
  <c r="I1335" i="7"/>
  <c r="I1336" i="7"/>
  <c r="I1639" i="7"/>
  <c r="G2212" i="7"/>
  <c r="I1160" i="7"/>
  <c r="H1004" i="7"/>
  <c r="G1021" i="7"/>
  <c r="I1011" i="7"/>
  <c r="I766" i="7"/>
  <c r="I1164" i="7"/>
  <c r="I1155" i="7"/>
  <c r="I677" i="7"/>
  <c r="E2606" i="7"/>
  <c r="I680" i="7"/>
  <c r="I2152" i="7"/>
  <c r="I1260" i="7"/>
  <c r="I1016" i="7"/>
  <c r="G765" i="7"/>
  <c r="H765" i="7" s="1"/>
  <c r="I1641" i="7"/>
  <c r="I767" i="7"/>
  <c r="I665" i="7"/>
  <c r="I343" i="7"/>
  <c r="I2286" i="7"/>
  <c r="G499" i="7"/>
  <c r="G2154" i="7"/>
  <c r="I2210" i="7"/>
  <c r="I536" i="7"/>
  <c r="G1644" i="7"/>
  <c r="I1003" i="7"/>
  <c r="I659" i="7"/>
  <c r="I961" i="7"/>
  <c r="I682" i="7"/>
  <c r="H2399" i="7"/>
  <c r="I2209" i="7"/>
  <c r="H1333" i="7"/>
  <c r="I537" i="7"/>
  <c r="I676" i="7"/>
  <c r="I1346" i="7"/>
  <c r="I1948" i="7"/>
  <c r="H2212" i="7"/>
  <c r="I672" i="7"/>
  <c r="H1798" i="7"/>
  <c r="I2062" i="7"/>
  <c r="I2061" i="7"/>
  <c r="G2067" i="7"/>
  <c r="I2065" i="7"/>
  <c r="H2067" i="7"/>
  <c r="I2008" i="7"/>
  <c r="I2066" i="7"/>
  <c r="I2063" i="7"/>
  <c r="I2007" i="7"/>
  <c r="I2003" i="7"/>
  <c r="I2005" i="7"/>
  <c r="I1796" i="7"/>
  <c r="I1798" i="7" s="1"/>
  <c r="I1617" i="7"/>
  <c r="I2006" i="7"/>
  <c r="I2004" i="7"/>
  <c r="I2002" i="7"/>
  <c r="I1618" i="7"/>
  <c r="I1620" i="7"/>
  <c r="I1616" i="7"/>
  <c r="I502" i="7"/>
  <c r="I361" i="7"/>
  <c r="I2398" i="7"/>
  <c r="I722" i="7"/>
  <c r="G359" i="7"/>
  <c r="G1621" i="7"/>
  <c r="H1621" i="7"/>
  <c r="G1817" i="7"/>
  <c r="D1371" i="7"/>
  <c r="I2151" i="7"/>
  <c r="H1817" i="7"/>
  <c r="I2396" i="7"/>
  <c r="I1815" i="7"/>
  <c r="I1813" i="7"/>
  <c r="I900" i="7"/>
  <c r="I897" i="7"/>
  <c r="F841" i="7"/>
  <c r="I774" i="7" s="1"/>
  <c r="G2116" i="7"/>
  <c r="F539" i="7"/>
  <c r="I504" i="7" s="1"/>
  <c r="H690" i="7"/>
  <c r="G432" i="7"/>
  <c r="I2397" i="7"/>
  <c r="I1814" i="7"/>
  <c r="G1333" i="7"/>
  <c r="F2403" i="7"/>
  <c r="I2399" i="7" s="1"/>
  <c r="I1812" i="7"/>
  <c r="I663" i="7"/>
  <c r="I2547" i="7"/>
  <c r="I2549" i="7" s="1"/>
  <c r="E841" i="7"/>
  <c r="D841" i="7"/>
  <c r="I2631" i="7"/>
  <c r="I262" i="7"/>
  <c r="I2479" i="7"/>
  <c r="H1268" i="7"/>
  <c r="I2010" i="7"/>
  <c r="F252" i="7"/>
  <c r="I252" i="7" s="1"/>
  <c r="H748" i="7"/>
  <c r="I998" i="7"/>
  <c r="I2480" i="7"/>
  <c r="I486" i="7"/>
  <c r="I1494" i="7"/>
  <c r="I316" i="7"/>
  <c r="H316" i="7"/>
  <c r="I317" i="7"/>
  <c r="H2272" i="7"/>
  <c r="G2272" i="7"/>
  <c r="I1252" i="7"/>
  <c r="H1250" i="7"/>
  <c r="G1250" i="7"/>
  <c r="I1250" i="7"/>
  <c r="I1251" i="7"/>
  <c r="G613" i="7"/>
  <c r="I610" i="7"/>
  <c r="H613" i="7"/>
  <c r="I608" i="7"/>
  <c r="I611" i="7"/>
  <c r="F1957" i="7"/>
  <c r="I1954" i="7" s="1"/>
  <c r="H1954" i="7"/>
  <c r="G1954" i="7"/>
  <c r="I1953" i="7"/>
  <c r="I1951" i="7"/>
  <c r="I1949" i="7"/>
  <c r="I1947" i="7"/>
  <c r="I1945" i="7"/>
  <c r="G2008" i="7"/>
  <c r="H2008" i="7"/>
  <c r="D2403" i="7"/>
  <c r="G727" i="7"/>
  <c r="I726" i="7"/>
  <c r="I724" i="7"/>
  <c r="H727" i="7"/>
  <c r="I723" i="7"/>
  <c r="I725" i="7"/>
  <c r="E347" i="7"/>
  <c r="I607" i="7"/>
  <c r="F1371" i="7"/>
  <c r="I1342" i="7" s="1"/>
  <c r="I1312" i="7"/>
  <c r="H1310" i="7"/>
  <c r="I1314" i="7"/>
  <c r="I1319" i="7"/>
  <c r="I1316" i="7"/>
  <c r="I1311" i="7"/>
  <c r="I1313" i="7"/>
  <c r="I1315" i="7"/>
  <c r="I1321" i="7"/>
  <c r="G1310" i="7"/>
  <c r="G331" i="7"/>
  <c r="D325" i="7"/>
  <c r="D316" i="7" s="1"/>
  <c r="G316" i="7" s="1"/>
  <c r="H2512" i="7"/>
  <c r="G2512" i="7"/>
  <c r="I2511" i="7"/>
  <c r="I2282" i="7"/>
  <c r="H1860" i="7"/>
  <c r="G1860" i="7"/>
  <c r="I1857" i="7"/>
  <c r="I1855" i="7"/>
  <c r="I1858" i="7"/>
  <c r="I2510" i="7"/>
  <c r="I874" i="7"/>
  <c r="I868" i="7"/>
  <c r="I895" i="7"/>
  <c r="I882" i="7"/>
  <c r="I876" i="7"/>
  <c r="H905" i="7"/>
  <c r="I891" i="7"/>
  <c r="I881" i="7"/>
  <c r="G905" i="7"/>
  <c r="I875" i="7"/>
  <c r="I880" i="7"/>
  <c r="I877" i="7"/>
  <c r="I873" i="7"/>
  <c r="I883" i="7"/>
  <c r="G348" i="7"/>
  <c r="I2332" i="7"/>
  <c r="I1859" i="7"/>
  <c r="I778" i="7"/>
  <c r="I781" i="7"/>
  <c r="G774" i="7"/>
  <c r="I777" i="7"/>
  <c r="I780" i="7"/>
  <c r="I775" i="7"/>
  <c r="I779" i="7"/>
  <c r="H774" i="7"/>
  <c r="I1950" i="7"/>
  <c r="I1279" i="7"/>
  <c r="I1277" i="7"/>
  <c r="F1287" i="7"/>
  <c r="H1276" i="7"/>
  <c r="G1276" i="7"/>
  <c r="E539" i="7"/>
  <c r="I305" i="7"/>
  <c r="H289" i="7"/>
  <c r="G289" i="7"/>
  <c r="I289" i="7"/>
  <c r="D332" i="7"/>
  <c r="G332" i="7" s="1"/>
  <c r="G335" i="7"/>
  <c r="G1743" i="7"/>
  <c r="F1747" i="7"/>
  <c r="I1743" i="7" s="1"/>
  <c r="I1739" i="7"/>
  <c r="I1737" i="7"/>
  <c r="H1743" i="7"/>
  <c r="G1679" i="7"/>
  <c r="I1676" i="7"/>
  <c r="I1678" i="7"/>
  <c r="I1677" i="7"/>
  <c r="I1674" i="7"/>
  <c r="H1679" i="7"/>
  <c r="H2418" i="7"/>
  <c r="G2418" i="7"/>
  <c r="F2121" i="7"/>
  <c r="H2120" i="7"/>
  <c r="I2119" i="7"/>
  <c r="I2414" i="7"/>
  <c r="I1675" i="7"/>
  <c r="I514" i="7"/>
  <c r="H513" i="7"/>
  <c r="G513" i="7"/>
  <c r="H325" i="7"/>
  <c r="I321" i="7"/>
  <c r="I325" i="7"/>
  <c r="I2118" i="7"/>
  <c r="I2092" i="7"/>
  <c r="H2094" i="7"/>
  <c r="G2094" i="7"/>
  <c r="I2091" i="7"/>
  <c r="I2093" i="7"/>
  <c r="H821" i="7"/>
  <c r="G821" i="7"/>
  <c r="I824" i="7"/>
  <c r="I822" i="7"/>
  <c r="H804" i="7"/>
  <c r="I818" i="7"/>
  <c r="I806" i="7"/>
  <c r="I817" i="7"/>
  <c r="I819" i="7"/>
  <c r="I809" i="7"/>
  <c r="I816" i="7"/>
  <c r="I805" i="7"/>
  <c r="G804" i="7"/>
  <c r="H363" i="7"/>
  <c r="G363" i="7"/>
  <c r="I303" i="7"/>
  <c r="I2630" i="7"/>
  <c r="H2632" i="7"/>
  <c r="G2632" i="7"/>
  <c r="I2629" i="7"/>
  <c r="I1555" i="7"/>
  <c r="H1557" i="7"/>
  <c r="G1557" i="7"/>
  <c r="I1554" i="7"/>
  <c r="I1556" i="7"/>
  <c r="I1553" i="7"/>
  <c r="I2117" i="7"/>
  <c r="I892" i="7"/>
  <c r="H2549" i="7"/>
  <c r="G2549" i="7"/>
  <c r="G2178" i="7"/>
  <c r="I2115" i="7"/>
  <c r="I2116" i="7"/>
  <c r="I2271" i="7"/>
  <c r="I2272" i="7" s="1"/>
  <c r="H522" i="7"/>
  <c r="I523" i="7"/>
  <c r="G522" i="7"/>
  <c r="I509" i="7"/>
  <c r="H507" i="7"/>
  <c r="G507" i="7"/>
  <c r="I1278" i="7"/>
  <c r="I1347" i="7"/>
  <c r="I1343" i="7"/>
  <c r="H1343" i="7"/>
  <c r="H1342" i="7"/>
  <c r="G1342" i="7"/>
  <c r="I1345" i="7"/>
  <c r="H1345" i="7"/>
  <c r="I365" i="7"/>
  <c r="I515" i="7"/>
  <c r="F1503" i="7"/>
  <c r="H1502" i="7"/>
  <c r="G1502" i="7"/>
  <c r="I1501" i="7"/>
  <c r="I1499" i="7"/>
  <c r="I1497" i="7"/>
  <c r="I1495" i="7"/>
  <c r="I1856" i="7"/>
  <c r="I2330" i="7"/>
  <c r="I832" i="7"/>
  <c r="H831" i="7"/>
  <c r="G831" i="7"/>
  <c r="I1919" i="7"/>
  <c r="H1921" i="7"/>
  <c r="G1921" i="7"/>
  <c r="I1918" i="7"/>
  <c r="I1917" i="7"/>
  <c r="I1920" i="7"/>
  <c r="I2417" i="7"/>
  <c r="I2090" i="7"/>
  <c r="I1500" i="7"/>
  <c r="I1916" i="7"/>
  <c r="G2011" i="7"/>
  <c r="H2011" i="7"/>
  <c r="H427" i="7"/>
  <c r="H429" i="7"/>
  <c r="H426" i="7"/>
  <c r="H431" i="7"/>
  <c r="H428" i="7"/>
  <c r="E640" i="7"/>
  <c r="H640" i="7" s="1"/>
  <c r="I609" i="7"/>
  <c r="H2524" i="7"/>
  <c r="G2524" i="7"/>
  <c r="F2525" i="7"/>
  <c r="I2524" i="7" s="1"/>
  <c r="I331" i="7"/>
  <c r="G2596" i="7"/>
  <c r="F2598" i="7"/>
  <c r="H2596" i="7"/>
  <c r="I556" i="7"/>
  <c r="I2032" i="7"/>
  <c r="H2034" i="7"/>
  <c r="G2034" i="7"/>
  <c r="I2031" i="7"/>
  <c r="I2033" i="7"/>
  <c r="I2030" i="7"/>
  <c r="H2180" i="7"/>
  <c r="G2180" i="7"/>
  <c r="I2179" i="7"/>
  <c r="I2180" i="7" s="1"/>
  <c r="I2415" i="7"/>
  <c r="I2416" i="7"/>
  <c r="I1738" i="7"/>
  <c r="I332" i="7"/>
  <c r="I335" i="7"/>
  <c r="H332" i="7"/>
  <c r="H783" i="7"/>
  <c r="G783" i="7"/>
  <c r="I785" i="7"/>
  <c r="I791" i="7"/>
  <c r="I788" i="7"/>
  <c r="I790" i="7"/>
  <c r="I784" i="7"/>
  <c r="I786" i="7"/>
  <c r="I789" i="7"/>
  <c r="I271" i="7"/>
  <c r="H271" i="7"/>
  <c r="G271" i="7"/>
  <c r="I280" i="7"/>
  <c r="I2413" i="7"/>
  <c r="H366" i="7"/>
  <c r="I339" i="7"/>
  <c r="I336" i="7"/>
  <c r="I251" i="7"/>
  <c r="I313" i="7"/>
  <c r="H306" i="7"/>
  <c r="I306" i="7"/>
  <c r="G306" i="7"/>
  <c r="I221" i="7"/>
  <c r="I220" i="7"/>
  <c r="H219" i="7"/>
  <c r="F224" i="7"/>
  <c r="I219" i="7" s="1"/>
  <c r="I222" i="7"/>
  <c r="G219" i="7"/>
  <c r="I2570" i="7"/>
  <c r="H2572" i="7"/>
  <c r="G2572" i="7"/>
  <c r="I2569" i="7"/>
  <c r="I2571" i="7"/>
  <c r="I2333" i="7"/>
  <c r="I2331" i="7"/>
  <c r="H2335" i="7"/>
  <c r="G2335" i="7"/>
  <c r="I2628" i="7"/>
  <c r="I1552" i="7"/>
  <c r="I1740" i="7"/>
  <c r="G263" i="7"/>
  <c r="I270" i="7"/>
  <c r="I263" i="7"/>
  <c r="H263" i="7"/>
  <c r="I269" i="7"/>
  <c r="H517" i="7"/>
  <c r="G517" i="7"/>
  <c r="I519" i="7"/>
  <c r="I823" i="7"/>
  <c r="I283" i="7"/>
  <c r="I2285" i="7"/>
  <c r="I2283" i="7"/>
  <c r="H2287" i="7"/>
  <c r="G2287" i="7"/>
  <c r="I1253" i="7"/>
  <c r="I1498" i="7"/>
  <c r="I2567" i="7"/>
  <c r="E1371" i="7"/>
  <c r="D366" i="7"/>
  <c r="I2596" i="7" l="1"/>
  <c r="I2597" i="7"/>
  <c r="G349" i="7"/>
  <c r="G325" i="7"/>
  <c r="H1172" i="7"/>
  <c r="G2120" i="7"/>
  <c r="F369" i="7"/>
  <c r="I370" i="7" s="1"/>
  <c r="I1701" i="7"/>
  <c r="D372" i="7"/>
  <c r="I1203" i="7"/>
  <c r="I1977" i="7"/>
  <c r="I2240" i="7"/>
  <c r="I2457" i="7"/>
  <c r="I1769" i="7"/>
  <c r="H1623" i="7"/>
  <c r="G1623" i="7"/>
  <c r="I1621" i="7"/>
  <c r="I1623" i="7" s="1"/>
  <c r="G370" i="7"/>
  <c r="I1582" i="7"/>
  <c r="I748" i="7"/>
  <c r="I517" i="7"/>
  <c r="I520" i="7"/>
  <c r="I1523" i="7"/>
  <c r="H539" i="7"/>
  <c r="I506" i="7"/>
  <c r="I522" i="7"/>
  <c r="I498" i="7"/>
  <c r="I503" i="7"/>
  <c r="I499" i="7"/>
  <c r="I1644" i="7"/>
  <c r="I2212" i="7"/>
  <c r="D347" i="7"/>
  <c r="G347" i="7" s="1"/>
  <c r="I1172" i="7"/>
  <c r="I799" i="7"/>
  <c r="I765" i="7"/>
  <c r="H841" i="7"/>
  <c r="I821" i="7"/>
  <c r="I516" i="7"/>
  <c r="I507" i="7"/>
  <c r="I510" i="7"/>
  <c r="I831" i="7"/>
  <c r="I534" i="7"/>
  <c r="I792" i="7"/>
  <c r="I1817" i="7"/>
  <c r="I2154" i="7"/>
  <c r="I1021" i="7"/>
  <c r="G2403" i="7"/>
  <c r="I825" i="7"/>
  <c r="I2632" i="7"/>
  <c r="G841" i="7"/>
  <c r="I752" i="7"/>
  <c r="I804" i="7"/>
  <c r="I829" i="7"/>
  <c r="I783" i="7"/>
  <c r="I690" i="7"/>
  <c r="G539" i="7"/>
  <c r="I2483" i="7"/>
  <c r="I512" i="7"/>
  <c r="I2067" i="7"/>
  <c r="I2011" i="7"/>
  <c r="I1557" i="7"/>
  <c r="I1276" i="7"/>
  <c r="D1287" i="7" s="1"/>
  <c r="I521" i="7"/>
  <c r="I796" i="7"/>
  <c r="I739" i="7"/>
  <c r="I2401" i="7"/>
  <c r="I2400" i="7"/>
  <c r="I2512" i="7"/>
  <c r="H2403" i="7"/>
  <c r="I1679" i="7"/>
  <c r="I511" i="7"/>
  <c r="I2403" i="7"/>
  <c r="I513" i="7"/>
  <c r="I505" i="7"/>
  <c r="I613" i="7"/>
  <c r="I2094" i="7"/>
  <c r="I727" i="7"/>
  <c r="H252" i="7"/>
  <c r="I253" i="7" s="1"/>
  <c r="G252" i="7"/>
  <c r="I2034" i="7"/>
  <c r="I363" i="7"/>
  <c r="I1502" i="7"/>
  <c r="I1503" i="7" s="1"/>
  <c r="I2572" i="7"/>
  <c r="I2418" i="7"/>
  <c r="H1503" i="7"/>
  <c r="G1503" i="7"/>
  <c r="I1860" i="7"/>
  <c r="I1310" i="7"/>
  <c r="H359" i="7"/>
  <c r="H350" i="7"/>
  <c r="H348" i="7"/>
  <c r="H432" i="7"/>
  <c r="I2523" i="7"/>
  <c r="H2525" i="7"/>
  <c r="G2525" i="7"/>
  <c r="I2520" i="7"/>
  <c r="I2522" i="7"/>
  <c r="I2521" i="7"/>
  <c r="H1957" i="7"/>
  <c r="G1957" i="7"/>
  <c r="I1956" i="7"/>
  <c r="I1957" i="7" s="1"/>
  <c r="G369" i="7"/>
  <c r="I2287" i="7"/>
  <c r="G224" i="7"/>
  <c r="I213" i="7"/>
  <c r="I198" i="7"/>
  <c r="I216" i="7"/>
  <c r="I205" i="7"/>
  <c r="I191" i="7"/>
  <c r="I197" i="7"/>
  <c r="I209" i="7"/>
  <c r="I192" i="7"/>
  <c r="I204" i="7"/>
  <c r="I196" i="7"/>
  <c r="H224" i="7"/>
  <c r="I203" i="7"/>
  <c r="I199" i="7"/>
  <c r="I206" i="7"/>
  <c r="I210" i="7"/>
  <c r="I200" i="7"/>
  <c r="G366" i="7"/>
  <c r="H2121" i="7"/>
  <c r="G2121" i="7"/>
  <c r="I2335" i="7"/>
  <c r="I2120" i="7"/>
  <c r="I2121" i="7" s="1"/>
  <c r="H1747" i="7"/>
  <c r="G1747" i="7"/>
  <c r="I1745" i="7"/>
  <c r="I1744" i="7"/>
  <c r="H347" i="7"/>
  <c r="I349" i="7"/>
  <c r="I359" i="7"/>
  <c r="I347" i="7"/>
  <c r="I1331" i="7"/>
  <c r="H1371" i="7"/>
  <c r="G1371" i="7"/>
  <c r="I1348" i="7"/>
  <c r="I1358" i="7"/>
  <c r="I1333" i="7"/>
  <c r="I1356" i="7"/>
  <c r="I1351" i="7"/>
  <c r="I1323" i="7"/>
  <c r="I1272" i="7"/>
  <c r="I1257" i="7"/>
  <c r="D1288" i="7" s="1"/>
  <c r="H1281" i="7"/>
  <c r="I1267" i="7"/>
  <c r="I1255" i="7"/>
  <c r="G1281" i="7"/>
  <c r="I1261" i="7"/>
  <c r="I1271" i="7"/>
  <c r="I1263" i="7"/>
  <c r="I1249" i="7"/>
  <c r="I1254" i="7"/>
  <c r="I1262" i="7"/>
  <c r="D1286" i="7" s="1"/>
  <c r="I1264" i="7"/>
  <c r="I1256" i="7"/>
  <c r="I1268" i="7"/>
  <c r="I1273" i="7"/>
  <c r="I1258" i="7"/>
  <c r="H2598" i="7"/>
  <c r="G2598" i="7"/>
  <c r="I1921" i="7"/>
  <c r="H349" i="7"/>
  <c r="I2598" i="7" l="1"/>
  <c r="I539" i="7"/>
  <c r="F372" i="7"/>
  <c r="I369" i="7" s="1"/>
  <c r="I371" i="7"/>
  <c r="H369" i="7"/>
  <c r="I841" i="7"/>
  <c r="I1747" i="7"/>
  <c r="I1281" i="7"/>
  <c r="I224" i="7"/>
  <c r="I1371" i="7"/>
  <c r="I2525" i="7"/>
  <c r="I366" i="7" l="1"/>
  <c r="G372" i="7"/>
  <c r="I368" i="7"/>
  <c r="I367" i="7"/>
  <c r="H372" i="7"/>
  <c r="I372" i="7" l="1"/>
</calcChain>
</file>

<file path=xl/sharedStrings.xml><?xml version="1.0" encoding="utf-8"?>
<sst xmlns="http://schemas.openxmlformats.org/spreadsheetml/2006/main" count="2401" uniqueCount="1064">
  <si>
    <t xml:space="preserve">   </t>
  </si>
  <si>
    <t>R E P U B L I K A     E    K O S O V Ë S</t>
  </si>
  <si>
    <t>R E P U B L I K    OF    K O S O V O</t>
  </si>
  <si>
    <t xml:space="preserve">R E P U B L I K A    K O S O V A </t>
  </si>
  <si>
    <t>KOMUNA E PEJËS   MUNICIPALITY OF PEJA   OPŠTINA  PEĆ</t>
  </si>
  <si>
    <t>DREJTORATI PËR  BUXHET E FINANCA</t>
  </si>
  <si>
    <t xml:space="preserve">   RAPORTI  </t>
  </si>
  <si>
    <t xml:space="preserve">I  TË HYRAVE DHE SHPENZIMEVE TË REALIZUARA BUXHETORE PËR PERIUDHËN </t>
  </si>
  <si>
    <t>PËRMBAJTJA :</t>
  </si>
  <si>
    <t xml:space="preserve">Përshkrimi                                                                                                                                                            </t>
  </si>
  <si>
    <t>Faqja</t>
  </si>
  <si>
    <t>Përmbajtja</t>
  </si>
  <si>
    <t>2</t>
  </si>
  <si>
    <t>Të dhënat e punësimit</t>
  </si>
  <si>
    <t>3</t>
  </si>
  <si>
    <t>4 - 6</t>
  </si>
  <si>
    <t xml:space="preserve">Zyra e Kryetarit </t>
  </si>
  <si>
    <t xml:space="preserve">Administrata dhe personeli </t>
  </si>
  <si>
    <t xml:space="preserve">Çështjet gjinore </t>
  </si>
  <si>
    <t>23</t>
  </si>
  <si>
    <t xml:space="preserve">Integrimet Europiane </t>
  </si>
  <si>
    <t xml:space="preserve">Inspekcioni </t>
  </si>
  <si>
    <t xml:space="preserve">Prokurimi </t>
  </si>
  <si>
    <t xml:space="preserve">Asambleja Komunale </t>
  </si>
  <si>
    <t>25</t>
  </si>
  <si>
    <t>Buxhet e financa</t>
  </si>
  <si>
    <t>Punë komunale , shërbime publike</t>
  </si>
  <si>
    <t>Emergjenca - zjarrëfikësat</t>
  </si>
  <si>
    <t xml:space="preserve">Zyra komunale për komunitete dhe kthim </t>
  </si>
  <si>
    <t xml:space="preserve">Bujqësi , pylltari , zhvillim rural </t>
  </si>
  <si>
    <t>Zhvillimi ekonomik</t>
  </si>
  <si>
    <t xml:space="preserve">Gjeodezi dhe kadastër </t>
  </si>
  <si>
    <t xml:space="preserve">Çështje pronësoro - juridike </t>
  </si>
  <si>
    <t xml:space="preserve">Planifikimi urban dhe mjedisi </t>
  </si>
  <si>
    <t>32</t>
  </si>
  <si>
    <t>Shëndetësia - Administrata</t>
  </si>
  <si>
    <t xml:space="preserve">Shëndetësia - Kujdesi primar shëndetsor </t>
  </si>
  <si>
    <t>33</t>
  </si>
  <si>
    <t xml:space="preserve">Shëndetësia - Shërbime sociale </t>
  </si>
  <si>
    <t>34</t>
  </si>
  <si>
    <t>Kulturë , rini , sport</t>
  </si>
  <si>
    <t xml:space="preserve">Arsimi - Administrata </t>
  </si>
  <si>
    <t>35</t>
  </si>
  <si>
    <t xml:space="preserve">Arsimi - Arsimi parashkollor - Çerdhet </t>
  </si>
  <si>
    <t xml:space="preserve">Arsimi - Arsimi fillor </t>
  </si>
  <si>
    <t xml:space="preserve">Arsimi - Arsimi i mesëm </t>
  </si>
  <si>
    <t>37</t>
  </si>
  <si>
    <t xml:space="preserve">                TË DHËNAT E PUNËSIMIT</t>
  </si>
  <si>
    <t xml:space="preserve">Kodi </t>
  </si>
  <si>
    <t>Emërtimi i kodit</t>
  </si>
  <si>
    <t>Numri aktual</t>
  </si>
  <si>
    <t>Planifikimi</t>
  </si>
  <si>
    <t xml:space="preserve">Progresi : </t>
  </si>
  <si>
    <t xml:space="preserve">% </t>
  </si>
  <si>
    <t>i programit</t>
  </si>
  <si>
    <t xml:space="preserve"> 5 / 3</t>
  </si>
  <si>
    <t xml:space="preserve"> 5 / 4</t>
  </si>
  <si>
    <t>Zyra e Kryetarit</t>
  </si>
  <si>
    <t>13</t>
  </si>
  <si>
    <t xml:space="preserve">( I+II+III )  Administrata dhe personeli </t>
  </si>
  <si>
    <t xml:space="preserve">         I.   Administrata </t>
  </si>
  <si>
    <t xml:space="preserve">         II.  Çështjet gjinore</t>
  </si>
  <si>
    <t>1</t>
  </si>
  <si>
    <t xml:space="preserve">         III. Integrimet europiane</t>
  </si>
  <si>
    <t>Inspeksioni</t>
  </si>
  <si>
    <t>Prokurimi</t>
  </si>
  <si>
    <t>Asambleja komunale</t>
  </si>
  <si>
    <t>(I+II) Punë komunale,shërbime publike</t>
  </si>
  <si>
    <t xml:space="preserve">         I.    Infrastruktura rrugore</t>
  </si>
  <si>
    <t xml:space="preserve">         II.   Emergjenca - zjarrëfikësat</t>
  </si>
  <si>
    <t>Zyra lokale e komuniteteve</t>
  </si>
  <si>
    <t>Bujqësi , pylltari , zhvillim rural</t>
  </si>
  <si>
    <t>Zhvillim ekonomik</t>
  </si>
  <si>
    <t xml:space="preserve">     ( I+II ) Gjeodezi dhe kadastër</t>
  </si>
  <si>
    <t>Planifikimi urban dhe mjedisi</t>
  </si>
  <si>
    <t>Shëndetësia</t>
  </si>
  <si>
    <t xml:space="preserve">              - Administrata</t>
  </si>
  <si>
    <t xml:space="preserve">              - Kujdesi primar shëndetsor</t>
  </si>
  <si>
    <t>Shërbimet Sociale</t>
  </si>
  <si>
    <t>Arsimi</t>
  </si>
  <si>
    <t xml:space="preserve">             - Administrata</t>
  </si>
  <si>
    <t xml:space="preserve">             - Arsimi parashkollor - Çerdhet</t>
  </si>
  <si>
    <t xml:space="preserve">             - Arsimi fillor</t>
  </si>
  <si>
    <t xml:space="preserve">             - Arsimi i mesëm</t>
  </si>
  <si>
    <t>Totali :</t>
  </si>
  <si>
    <t>( në euro )</t>
  </si>
  <si>
    <t xml:space="preserve">Realizimi </t>
  </si>
  <si>
    <t xml:space="preserve">Realizimi                 </t>
  </si>
  <si>
    <t>ekonomik</t>
  </si>
  <si>
    <t xml:space="preserve">Administrata </t>
  </si>
  <si>
    <t>Taksa për çertifikata të lindjes</t>
  </si>
  <si>
    <t>Taksa për çertifikata të kurorëzimit</t>
  </si>
  <si>
    <t>Taksa për çertifikata të vdekjes</t>
  </si>
  <si>
    <t>Taksa për çertifikata të ofiqarisë</t>
  </si>
  <si>
    <t>Taksa për fotokopjim të dokumenteve</t>
  </si>
  <si>
    <t>Taksa tjera administrative</t>
  </si>
  <si>
    <t>Taksa për shtetësi</t>
  </si>
  <si>
    <t>Të hyrat vetanake</t>
  </si>
  <si>
    <t>Inspekcioni</t>
  </si>
  <si>
    <t>Gjobat nga gjykatat</t>
  </si>
  <si>
    <t>Gjobat nga inspektorati - denimet mandatore</t>
  </si>
  <si>
    <t>Licencat për pranim teknik të lokalit</t>
  </si>
  <si>
    <t>Inspektimi i artikujve ushqimor</t>
  </si>
  <si>
    <t>Inspektimi veterinar brenda vendit</t>
  </si>
  <si>
    <t>Inspektimi higjienik sanitar</t>
  </si>
  <si>
    <t>Tatimi në pronë</t>
  </si>
  <si>
    <t>Tatimi në tokë</t>
  </si>
  <si>
    <t>Taksa e regjistrimit të automjeteve</t>
  </si>
  <si>
    <t>Gjobat në trafik</t>
  </si>
  <si>
    <t xml:space="preserve"> Të hyrat vetanake</t>
  </si>
  <si>
    <t xml:space="preserve"> Donacionet e jashtme</t>
  </si>
  <si>
    <t xml:space="preserve">            Qeveria Zvicrane</t>
  </si>
  <si>
    <t>( I+II ) Punë komunale , shërbime publike</t>
  </si>
  <si>
    <t>Taksa për parkim publik ,kampim,rekreacion</t>
  </si>
  <si>
    <t>Licenca për rekl.dhe publik.në prona publike</t>
  </si>
  <si>
    <t xml:space="preserve">Taksa për ndrrimin e destinimit të tokës </t>
  </si>
  <si>
    <t>Taksat për zhavor</t>
  </si>
  <si>
    <t>Pëlqimi për eksploatimin e resurseve natyrore</t>
  </si>
  <si>
    <t xml:space="preserve">Çertifikata për transportin e kafshëve </t>
  </si>
  <si>
    <t>Taksa për pjesëmarrje në tender</t>
  </si>
  <si>
    <t>Licenca për gurthyes dhe miniera</t>
  </si>
  <si>
    <t>Të hyrat nga shitja e mallrave</t>
  </si>
  <si>
    <t>Shfrytëzimi i pronës publike</t>
  </si>
  <si>
    <t>Participim i qytetarëve</t>
  </si>
  <si>
    <t xml:space="preserve"> Licencat për shërbime profesionale</t>
  </si>
  <si>
    <t xml:space="preserve"> Licencat për transport të mallrave</t>
  </si>
  <si>
    <t>50208-1</t>
  </si>
  <si>
    <t xml:space="preserve"> Licenca për shërbim të pijeve alkoolike</t>
  </si>
  <si>
    <t>( I+II )  Gjeodezi dhe kadastër</t>
  </si>
  <si>
    <t>I. Shërbime kadastrale</t>
  </si>
  <si>
    <t xml:space="preserve">Taksa për regjistrimin e trashigimisë </t>
  </si>
  <si>
    <t>Regjistrimi i pengut</t>
  </si>
  <si>
    <t>Taksa për matjen e tokës në teren</t>
  </si>
  <si>
    <t>II. Çështjet pronësore - juridike</t>
  </si>
  <si>
    <t>Qiraja  nga objektet publike</t>
  </si>
  <si>
    <t xml:space="preserve">Të hyrat nga shitja e pasurisë </t>
  </si>
  <si>
    <t>Taksa komunale për leje ndërtimi</t>
  </si>
  <si>
    <t>Taksa për legalizimin e objekteve</t>
  </si>
  <si>
    <t>Kujdesi primar shëndetsor - Participim</t>
  </si>
  <si>
    <t>Taksa për parkim , kampim dhe rekreacion</t>
  </si>
  <si>
    <t>Donacionet e jashtme</t>
  </si>
  <si>
    <t>Arsimi parashkollor - Çerdhet</t>
  </si>
  <si>
    <t>Participim</t>
  </si>
  <si>
    <t xml:space="preserve">               Save the children</t>
  </si>
  <si>
    <t>Arsimi fillor</t>
  </si>
  <si>
    <t xml:space="preserve">Arsimi i mesëm </t>
  </si>
  <si>
    <t>I . TË HYRAT VETANAKE</t>
  </si>
  <si>
    <t xml:space="preserve">              Donacionet e jashtme</t>
  </si>
  <si>
    <t xml:space="preserve">              Donacionet e brendshme</t>
  </si>
  <si>
    <t xml:space="preserve"> T O T A L I  ( I + II ) :</t>
  </si>
  <si>
    <t>Fondi burimor</t>
  </si>
  <si>
    <t>Emërtimi i fondit</t>
  </si>
  <si>
    <t>Buxheti total</t>
  </si>
  <si>
    <t>Diferenca</t>
  </si>
  <si>
    <t>%</t>
  </si>
  <si>
    <t xml:space="preserve">Granti Qeveritar </t>
  </si>
  <si>
    <t xml:space="preserve">Të hyrat vetanake </t>
  </si>
  <si>
    <t>Donacionet e brendshme</t>
  </si>
  <si>
    <t>32-99</t>
  </si>
  <si>
    <t>`04</t>
  </si>
  <si>
    <t>Huamarrja</t>
  </si>
  <si>
    <t xml:space="preserve">   Totali :</t>
  </si>
  <si>
    <t>Granti Qeveritar</t>
  </si>
  <si>
    <t>Mjetet e bartura</t>
  </si>
  <si>
    <t xml:space="preserve">Shpenzimi i buxhetit sipas programeve është si vijon : </t>
  </si>
  <si>
    <t xml:space="preserve"> (në euro )</t>
  </si>
  <si>
    <t xml:space="preserve">     - Administrata </t>
  </si>
  <si>
    <t xml:space="preserve">     - Çështjet gjinore</t>
  </si>
  <si>
    <t xml:space="preserve">     - Integrimet europiane</t>
  </si>
  <si>
    <t>Punë komunale,shërbime publike</t>
  </si>
  <si>
    <t xml:space="preserve">     - Infrastruktura rrugore</t>
  </si>
  <si>
    <t xml:space="preserve">     - Emergjenca - zjarrëfikësat</t>
  </si>
  <si>
    <t>Zyra komunale për komunitete dhe kthim</t>
  </si>
  <si>
    <t xml:space="preserve">     - Shërbime kadastrale</t>
  </si>
  <si>
    <t xml:space="preserve">     - Çështje pronësoro - juridike</t>
  </si>
  <si>
    <t xml:space="preserve">     - Administrata</t>
  </si>
  <si>
    <t xml:space="preserve">     - Kujdesi primar shëndetsor</t>
  </si>
  <si>
    <t>Shërbimet sociale</t>
  </si>
  <si>
    <t xml:space="preserve">    - Administrata</t>
  </si>
  <si>
    <t xml:space="preserve">    - Arsimi parashkollor - Çerdhet</t>
  </si>
  <si>
    <t xml:space="preserve">    - Arsimi fillor</t>
  </si>
  <si>
    <t xml:space="preserve">    - Arsimi i mesëm</t>
  </si>
  <si>
    <t>Realizimi i buxhetit sipas kategorive ekonomike është si vijon :</t>
  </si>
  <si>
    <t>ekon.</t>
  </si>
  <si>
    <t xml:space="preserve"> Paga dhe meditje</t>
  </si>
  <si>
    <t xml:space="preserve"> Mallra dhe shërbime</t>
  </si>
  <si>
    <t xml:space="preserve"> Shpenzime komunale</t>
  </si>
  <si>
    <t xml:space="preserve"> Transfere dhe subvencione</t>
  </si>
  <si>
    <t xml:space="preserve"> Investime kapitale</t>
  </si>
  <si>
    <t xml:space="preserve">PAGAT DHE MEDITJET </t>
  </si>
  <si>
    <t xml:space="preserve"> </t>
  </si>
  <si>
    <t>Donatorët e brendshëm</t>
  </si>
  <si>
    <t xml:space="preserve"> Totali :</t>
  </si>
  <si>
    <t>Pagesat për sindikat</t>
  </si>
  <si>
    <t>Antarësim - Oda e mjekëve të Kosovës</t>
  </si>
  <si>
    <t>Kontributi pensional nga punëtori</t>
  </si>
  <si>
    <t>Kontributi pensional nga punëdhënësi</t>
  </si>
  <si>
    <t>Ecuria e realizimit të pagave dhe meditjeve mund të përcjellet nga pasqyrimi i mësipërm tabelar .</t>
  </si>
  <si>
    <t xml:space="preserve"> Granti Qeveritar</t>
  </si>
  <si>
    <t xml:space="preserve"> Mjetet e bartura</t>
  </si>
  <si>
    <t xml:space="preserve"> Donatorët e brendshëm</t>
  </si>
  <si>
    <t>Shpenzimet e udhëtimit</t>
  </si>
  <si>
    <t>Shpenzimet e udhëtimit zyrtar brenda vendit</t>
  </si>
  <si>
    <t>Meditjet e udhëtimit zyrtar brenda vendit</t>
  </si>
  <si>
    <t>Akomodimi gjatë udhëtim.zyrtar brenda vendit</t>
  </si>
  <si>
    <t>Shpenzimet e udhëtimit zyrtar jashtë vendit</t>
  </si>
  <si>
    <t>Meditjet e udhëtimit zyrtar jashtë vendit</t>
  </si>
  <si>
    <t>Shërbimet e telekomunikimit</t>
  </si>
  <si>
    <t>Shpenzimet për internet</t>
  </si>
  <si>
    <t>Shpenzimet e telefonisë mobile</t>
  </si>
  <si>
    <t>Shpenzimet postare</t>
  </si>
  <si>
    <t>Shpenzimet për shërbime</t>
  </si>
  <si>
    <t>Shërbimet e arsimit dhe trajnimit</t>
  </si>
  <si>
    <t>Shërbimet e përfaqësimit dhe avokaturës</t>
  </si>
  <si>
    <t>Shërbime të ndryshme shëndetsore</t>
  </si>
  <si>
    <t>Shërbime  shtypje - jo marketing</t>
  </si>
  <si>
    <t xml:space="preserve">Shërbimet tjera kontraktuese </t>
  </si>
  <si>
    <t>Shërbimet teknike</t>
  </si>
  <si>
    <t>Shpenzimet për antarësim</t>
  </si>
  <si>
    <t>Blerje e mobileve dhe paisjeve (&lt; 1000 € )</t>
  </si>
  <si>
    <t>Mobile ( më pak se 1000 € )</t>
  </si>
  <si>
    <t>Telefona ( më pak se 1000 € )</t>
  </si>
  <si>
    <t>Kompjuter ( më pak se 1000 € )</t>
  </si>
  <si>
    <t>Makina fotokopjuese ( më pak se 1000 € )</t>
  </si>
  <si>
    <t>Paisje speciale mjeksore ( &lt; se 1000 € )</t>
  </si>
  <si>
    <t>Paisje trafiku ( më pak se 1000 €)</t>
  </si>
  <si>
    <t>Paisje tjera ( më pak se 1000 € )</t>
  </si>
  <si>
    <t>Blerje tjera - mallra dhe shërbime</t>
  </si>
  <si>
    <t>Furnizime për zyrë</t>
  </si>
  <si>
    <t>Furnizime mjeksore</t>
  </si>
  <si>
    <t>Furnizime pastrimi</t>
  </si>
  <si>
    <t>Furnizim me veshmbathje</t>
  </si>
  <si>
    <t>Bllombat</t>
  </si>
  <si>
    <t>Derivatet dhe lëndët djegëse</t>
  </si>
  <si>
    <t>Vaj</t>
  </si>
  <si>
    <t>Naftë për ngrohje qendrore</t>
  </si>
  <si>
    <t>Vaj për ngrohje qendrore</t>
  </si>
  <si>
    <t>Qymyr</t>
  </si>
  <si>
    <t>Derivate për gjenerator</t>
  </si>
  <si>
    <t>Gaz natyror</t>
  </si>
  <si>
    <t>Llogaritë e avansit</t>
  </si>
  <si>
    <t>Avans për udhëtime zyrtare</t>
  </si>
  <si>
    <t>Avanc për ambasadat</t>
  </si>
  <si>
    <t>Shërbimet financiare</t>
  </si>
  <si>
    <t>Provizioni bankar - NLB Prishtinë</t>
  </si>
  <si>
    <t>Shërbimet e regjistrimit dhe sigurimit</t>
  </si>
  <si>
    <t>Regjistrimi i automjeteve</t>
  </si>
  <si>
    <t>Sigurimi i automjeteve</t>
  </si>
  <si>
    <t xml:space="preserve">Taksa komunale e regjistrimit të automjeteve </t>
  </si>
  <si>
    <t>Sigurimi i ndërtesave</t>
  </si>
  <si>
    <t>Mirëmbajtja</t>
  </si>
  <si>
    <t>Mirëmbajtja dhe riparimi automjeteve</t>
  </si>
  <si>
    <t>Mirëmbajtja e ndërtesave</t>
  </si>
  <si>
    <t>Mirëmbajtja e ndërtesave të banimit</t>
  </si>
  <si>
    <t>Mirëmbajtja e shkollave</t>
  </si>
  <si>
    <t>Mirëmbajtja e objekteve shëndetsore</t>
  </si>
  <si>
    <t>Mirëmbajtja e auto rrugëve</t>
  </si>
  <si>
    <t>Mirëmbajtja e autorrugëve lokale</t>
  </si>
  <si>
    <t>Mirëmbajtja e teknologjisë informative</t>
  </si>
  <si>
    <t>Mirëmbajtja e mobileve dhe paisjeve</t>
  </si>
  <si>
    <t>Qiraja</t>
  </si>
  <si>
    <t>Qiraja për ndërtesa - depo</t>
  </si>
  <si>
    <t>Qiraja për paisje</t>
  </si>
  <si>
    <t>Qiraja për përdorime tjera hapsinore</t>
  </si>
  <si>
    <t>Shpenzimet e marketingut</t>
  </si>
  <si>
    <t>Reklamat dhe konkurset</t>
  </si>
  <si>
    <t>Botimet e publikimeve</t>
  </si>
  <si>
    <t>Shpenzimet për informim publik</t>
  </si>
  <si>
    <t>Shpenzimet e përfaqësimit</t>
  </si>
  <si>
    <t>Shpenzimet - Vendimet e gjykatave</t>
  </si>
  <si>
    <t>Pagesa - neni 39.2 LMPP</t>
  </si>
  <si>
    <t xml:space="preserve">Mjetet e bartura nga viti paraprak </t>
  </si>
  <si>
    <t>Donatorët e jashtëm</t>
  </si>
  <si>
    <t xml:space="preserve">Punë komunale , shërbime publike  </t>
  </si>
  <si>
    <t>SHPENZIMET KOMUNALE</t>
  </si>
  <si>
    <t xml:space="preserve"> Mbeturinat</t>
  </si>
  <si>
    <t>Ngrohja qendrore</t>
  </si>
  <si>
    <t>Pagesa - Vendime gjyqësore</t>
  </si>
  <si>
    <t xml:space="preserve">Vlen të ceket se bartës të këtyre shpenzimeve gjatë periudhës raportuese janë : </t>
  </si>
  <si>
    <t>TRANSFERET DHE SUBVENCIONET</t>
  </si>
  <si>
    <t>Transfere për qeveri tjera</t>
  </si>
  <si>
    <t>Pensionet për persona me aftësi të kufizuar</t>
  </si>
  <si>
    <t>INVESTIMET KAPITALE</t>
  </si>
  <si>
    <t>Sipas lartësisë së pjesëmarrjes pasojnë :</t>
  </si>
  <si>
    <t>Drejtorati për buxhet e financa</t>
  </si>
  <si>
    <t>ose</t>
  </si>
  <si>
    <t>etj.</t>
  </si>
  <si>
    <t>Ndërtesat</t>
  </si>
  <si>
    <t>Ndërtesat e banimit</t>
  </si>
  <si>
    <t>Ndërtesat administrative afariste</t>
  </si>
  <si>
    <t>Objektet arsimore</t>
  </si>
  <si>
    <t>Objektet shëndetësore</t>
  </si>
  <si>
    <t>Objektet kulturore</t>
  </si>
  <si>
    <t>Objekte sportive</t>
  </si>
  <si>
    <t>Rrethoja</t>
  </si>
  <si>
    <t>Strukturat tjera ndërtimore</t>
  </si>
  <si>
    <t xml:space="preserve">Ndërtimi i rrugëve </t>
  </si>
  <si>
    <t xml:space="preserve">Ndërtimi i autorrugëve </t>
  </si>
  <si>
    <t>Ndërtimi i rrugëve lokale</t>
  </si>
  <si>
    <t>Trotuaret</t>
  </si>
  <si>
    <t>Kanalizimi</t>
  </si>
  <si>
    <t>Ujësjellësi</t>
  </si>
  <si>
    <t>Mirëmbajtja investive</t>
  </si>
  <si>
    <t>Paisje ( vlera mbi 1000 € )</t>
  </si>
  <si>
    <t>Paisje të teknologjisë informative</t>
  </si>
  <si>
    <t>Mobile</t>
  </si>
  <si>
    <t>Kompjuter</t>
  </si>
  <si>
    <t>Makina fotokopjuese</t>
  </si>
  <si>
    <t>Paisje speciale mjeksore</t>
  </si>
  <si>
    <t>Paisje tjera</t>
  </si>
  <si>
    <t>Automjete transporti</t>
  </si>
  <si>
    <t>Vetura zyrtare</t>
  </si>
  <si>
    <t>Vetura të ndihmës së shpejtë</t>
  </si>
  <si>
    <t>Automjete transporti tjera</t>
  </si>
  <si>
    <t>Kapital tjetër</t>
  </si>
  <si>
    <t xml:space="preserve">Avansi për investime </t>
  </si>
  <si>
    <t>Toka</t>
  </si>
  <si>
    <t>Transfere kapital për etnitete jopublike</t>
  </si>
  <si>
    <t>Pagesa - Neni 39.2 LMFPP</t>
  </si>
  <si>
    <t>16019  -  ZYRA E KRYETARIT</t>
  </si>
  <si>
    <t>ADMINISTRATA DHE PERSONELI</t>
  </si>
  <si>
    <t xml:space="preserve"> Planifikimi</t>
  </si>
  <si>
    <t>Taksa për çertifikata tjera të ofiqarisë</t>
  </si>
  <si>
    <t xml:space="preserve">    -Të hyrat vetanake</t>
  </si>
  <si>
    <t>ÇËSHTJET GJINORE</t>
  </si>
  <si>
    <t>Zyra për çështje gjinore , sipas funksionit që ka nuk bën grumbullim të të hyrave .</t>
  </si>
  <si>
    <t>Shpenzimi i buxhetit për gjashtë muaj është si vijon :</t>
  </si>
  <si>
    <t>INTEGRIMET EUROPIANE</t>
  </si>
  <si>
    <t>Integrimet europiane nuk bëjnë grumbullim të të hyrave ndërsa shpenzimi i buxhetit është si vijon :</t>
  </si>
  <si>
    <t>Dinamika dhe struktura e grumbullimit të të hyrave është si vijon :</t>
  </si>
  <si>
    <t xml:space="preserve">Gjobat nga gjykatat </t>
  </si>
  <si>
    <t>Inspektimet e veterinarisë</t>
  </si>
  <si>
    <t>Të hyrat nga inspektimi higjienik - sanitar</t>
  </si>
  <si>
    <t>Gjithsej :</t>
  </si>
  <si>
    <t>Dinamika e realizimit të të hyrave tjera mund të përcjellet nga pasqyrimi i mësipërm tabelar .</t>
  </si>
  <si>
    <t xml:space="preserve"> Tatimi në pronë</t>
  </si>
  <si>
    <t xml:space="preserve"> Tatimi në tokë</t>
  </si>
  <si>
    <t xml:space="preserve"> Taksa e regjistrimit të automjeteve</t>
  </si>
  <si>
    <t xml:space="preserve"> Taksa për verif. e dokum. të ndryshme</t>
  </si>
  <si>
    <t xml:space="preserve"> Gjobat në trafik</t>
  </si>
  <si>
    <t xml:space="preserve"> Licenca të tjera në afarizëm</t>
  </si>
  <si>
    <t>18019 - INFRASTRUKTURA RRUGORE</t>
  </si>
  <si>
    <t>50212 -1</t>
  </si>
  <si>
    <t>Licenca,reklama,publik. në pronë publike</t>
  </si>
  <si>
    <t>47019  -  BUJQËSI , PYLLTARI , ZHVILLIM RURAL</t>
  </si>
  <si>
    <t xml:space="preserve"> Çertifikata për transportin e kafshëve </t>
  </si>
  <si>
    <t xml:space="preserve">     -Të hyrat vetanake</t>
  </si>
  <si>
    <t>48019 - ZHVILLIMI EKONOMIK</t>
  </si>
  <si>
    <t xml:space="preserve">    </t>
  </si>
  <si>
    <t xml:space="preserve"> Vërtetime të ndryshme dhe leje për itenerar</t>
  </si>
  <si>
    <t xml:space="preserve"> Gjithsej :</t>
  </si>
  <si>
    <t>65095 - GJEODEZI DHE KADASTËR</t>
  </si>
  <si>
    <t>65495 - ÇËSHTJE PRONËSORO - JURIDIKE</t>
  </si>
  <si>
    <t xml:space="preserve">      -Të hyrat vetanake</t>
  </si>
  <si>
    <t>66100 - PLANIFIKIMI URBAN DHE MJEDISI</t>
  </si>
  <si>
    <t>73028 - SHËNDETËSIA - ADMINISTRATA</t>
  </si>
  <si>
    <t>74100 - SHËNDETËSIA - KUJDESI PRIMAR SHËNDETSOR</t>
  </si>
  <si>
    <t>Taksë administrative për fletëkërkesë</t>
  </si>
  <si>
    <t>Participimet nga shëndetësia</t>
  </si>
  <si>
    <t>Gjithsej:</t>
  </si>
  <si>
    <t>75590 - SHËNDETËSIA - SHËRBIMET SOCIALE</t>
  </si>
  <si>
    <t>85019 - KULTURË , RINI , SPORT</t>
  </si>
  <si>
    <t>50409-8</t>
  </si>
  <si>
    <t>Participim - Biblioteka</t>
  </si>
  <si>
    <t>92095 - ARSIMI - ADMINISTRATA</t>
  </si>
  <si>
    <t>92570 - ARSIMI PARASHKOLLOR - ÇERDHET</t>
  </si>
  <si>
    <t>Participimet - Qerdhet</t>
  </si>
  <si>
    <t xml:space="preserve">Donacionet - Save the Children </t>
  </si>
  <si>
    <t>93540 - ARSIMI FILLOR</t>
  </si>
  <si>
    <t>50008 - 1</t>
  </si>
  <si>
    <t xml:space="preserve">Participim </t>
  </si>
  <si>
    <t>94740 - ARSIMI I MESËM</t>
  </si>
  <si>
    <t>50008-1</t>
  </si>
  <si>
    <t>Pjesëmarrja e shkollave në krijimin e të hyrave është si vijon :</t>
  </si>
  <si>
    <t>Shkolla ekonomike " Ali Hadri "</t>
  </si>
  <si>
    <t>Shkolla teknike " Shaban Spahija "</t>
  </si>
  <si>
    <t xml:space="preserve">Gjithsej : </t>
  </si>
  <si>
    <r>
      <t xml:space="preserve">          </t>
    </r>
    <r>
      <rPr>
        <b/>
        <sz val="10"/>
        <color indexed="8"/>
        <rFont val="Arial Narrow"/>
        <family val="2"/>
      </rPr>
      <t>I.</t>
    </r>
    <r>
      <rPr>
        <sz val="10"/>
        <color indexed="8"/>
        <rFont val="Arial Narrow"/>
        <family val="2"/>
      </rPr>
      <t xml:space="preserve">    Shërbime kadastrale</t>
    </r>
  </si>
  <si>
    <r>
      <t xml:space="preserve">          </t>
    </r>
    <r>
      <rPr>
        <b/>
        <sz val="10"/>
        <color indexed="8"/>
        <rFont val="Arial Narrow"/>
        <family val="2"/>
      </rPr>
      <t>II.</t>
    </r>
    <r>
      <rPr>
        <sz val="10"/>
        <color indexed="8"/>
        <rFont val="Arial Narrow"/>
        <family val="2"/>
      </rPr>
      <t xml:space="preserve">   Çështje pronësore - juridike</t>
    </r>
  </si>
  <si>
    <t>Shërbimet kulturore</t>
  </si>
  <si>
    <t>Teatri</t>
  </si>
  <si>
    <t xml:space="preserve">Duke u bazuar në Ligjin për menaxhimin e financave publike dhe përgjegjësitë (Nr. 03/L-048)  i plotësuar dhe ndryshuar me Ligjin </t>
  </si>
  <si>
    <t>t'i dorrëzoj raportet tremujore dhe raportin vjetor të buxhetit për vitin fiskal .</t>
  </si>
  <si>
    <t xml:space="preserve">Nr.03/L-221 , Ligjin Nr.04/L-116 , Ligjin Nr.04/L-194 , Ligjin Nr.05/L-063 dhe me Ligjin Nr.05/L-007 Drejtorati për buxhet e financa është  i obliguar </t>
  </si>
  <si>
    <t xml:space="preserve">                Raporti ka për qëllim informimin sa më objektiv lidhur me ecurinë dhe me treguesit relevant rreth përmbushjes së planit  dhe grumbullimit të </t>
  </si>
  <si>
    <t>mjeteve sipas burimeve,përmbushjes së obligimeve të planifikuara sipas planprogrameve,dinamikën dhe strukturëne mjeteve të planifikuara si dhe</t>
  </si>
  <si>
    <t>Buxheti fillestar</t>
  </si>
  <si>
    <t>sipas periudhave krahasuese për drejtoritë përkatëse .</t>
  </si>
  <si>
    <t>Dinamika dhe struktura e realizimit të investimeve kapitale sipas drejtorive mund të përcjellet nga pasqyrimi tabelar ndërsa destinimi i tyre</t>
  </si>
  <si>
    <t>Furnizim me rrymë,gjenerim dhe transmision</t>
  </si>
  <si>
    <t>85184 - TEATRI</t>
  </si>
  <si>
    <t>ekonom.</t>
  </si>
  <si>
    <t>Taksa për parkim publik, kampim,rekreacion</t>
  </si>
  <si>
    <t xml:space="preserve"> krahasuese. </t>
  </si>
  <si>
    <t xml:space="preserve">realizimin e tyre sipas kategorive të përcaktuara buxhetore,angazhimet kadrovike si dhe treguesit tjerë që kanë ndikuar në rezultatet e përgjithshme </t>
  </si>
  <si>
    <t xml:space="preserve">për këtë periudhë . </t>
  </si>
  <si>
    <t>programet në raport me planin vjetor dhe realizimin gjatë periudhës së njajtë të vitit paraprak .</t>
  </si>
  <si>
    <t xml:space="preserve">Nga tabela e mësipërme mund të përcjellet  dinamika e të punësuarve nëpër drejtori,si në raport me periudhën krahasuese poashtu edhe </t>
  </si>
  <si>
    <t>Taksa për verfikimin e dokumenteve të ndryshme</t>
  </si>
  <si>
    <t>Taksa për verifikimin e dokumenteve të ndryshme</t>
  </si>
  <si>
    <t>I. Infrastruktura rrugore</t>
  </si>
  <si>
    <t>Licencat për transport të mallrave</t>
  </si>
  <si>
    <t>Vërtetime të ndryshme dhe leje për itenerar</t>
  </si>
  <si>
    <t>Licenca për shërbim të pijeve alkoolike</t>
  </si>
  <si>
    <t>Licenca për reklama dhe publikime në prona publike</t>
  </si>
  <si>
    <t>Tatimi i ndalur në burim në të ardhura personale</t>
  </si>
  <si>
    <t xml:space="preserve">                  MALLRAT DHE SHËRBIMET</t>
  </si>
  <si>
    <t xml:space="preserve">                  Financimi i shpenzimeve për mallra dhe shërbime është bërë nga këto burime :</t>
  </si>
  <si>
    <t xml:space="preserve">                   Dinamika dhe struktura e pagesave për mallra dhe shërbime sipas kodeve ekonomike shënon ecuri të ndryshme , si në raport me</t>
  </si>
  <si>
    <t>Shpenzimet tjera të udhëtimit zyrtar brenda vendit</t>
  </si>
  <si>
    <t>Akomodimi gjatë udhëtimit zyrtar jashtë vendit</t>
  </si>
  <si>
    <t>Shërbime të ndryshme intelektuale dhe këshillëdhën.</t>
  </si>
  <si>
    <t>Furnizim me ushqim dhe pije - jo dreka zyrtare</t>
  </si>
  <si>
    <t>Mirëmbajtja e ndërtesave administrative afariste</t>
  </si>
  <si>
    <t xml:space="preserve">                  Shikuar sipas programeve shpenzimet për mallra dhe shërbime kanë ecurinë si vijon : </t>
  </si>
  <si>
    <t xml:space="preserve">                   Bartës më të mëdhenj të pagesave për mallra dhe shërbime gjatë periudhës raportuese janë : </t>
  </si>
  <si>
    <t xml:space="preserve">                  Nga pasqyrimi i mëposhtëm tabelar mund të përcjellet dinamika e planifikimit dhe realizimit të shpenzimeve për transfere dhe subvencione </t>
  </si>
  <si>
    <t xml:space="preserve">                  Financimi i shpenzimeve për kategorinë e investimeve kapitale është bërë nga burimet e mëposhtme :</t>
  </si>
  <si>
    <t>Furnizim me rrymë , gjenerim dhe transmision</t>
  </si>
  <si>
    <t xml:space="preserve">                  Dinamika dhe struktura e grumbullimit të të hyrave është si vijon :</t>
  </si>
  <si>
    <t>Taksa për verifikimin  e dokumenteve të ndryshme</t>
  </si>
  <si>
    <t xml:space="preserve">                   Shpenzimi i buxhetit për gjashtë muaj është si vijon :</t>
  </si>
  <si>
    <t xml:space="preserve">                  </t>
  </si>
  <si>
    <t xml:space="preserve">                  Shpenzimi i buxhetit për gjashtë muaj është si vijon :</t>
  </si>
  <si>
    <t xml:space="preserve">                  16637 - INSPEKCIONI</t>
  </si>
  <si>
    <t>Të hyrat nga inspektimi i artikujve ushqimor</t>
  </si>
  <si>
    <t xml:space="preserve">                  16795  -  PROKURIMI</t>
  </si>
  <si>
    <t xml:space="preserve">                  16919  -  ASSAMBLEJA KOMUNALE</t>
  </si>
  <si>
    <t>17519 - BUXHET E FINANCA</t>
  </si>
  <si>
    <t xml:space="preserve">                  18295  -  EMERGJENCA - ZJARRËFIKËSAT</t>
  </si>
  <si>
    <t xml:space="preserve">                   Shpenzimi i buxhetit për gjashtë muaj është  si vijon :</t>
  </si>
  <si>
    <t xml:space="preserve">Taksa për ndrriminm e destinimit të tokës </t>
  </si>
  <si>
    <t xml:space="preserve"> Taksa për verifikim të dokumenteve të ndryshme</t>
  </si>
  <si>
    <t>Qiraja nga objektet publike</t>
  </si>
  <si>
    <t xml:space="preserve">                   Të hyrat e lartëcekura janë realizuar nga participimet.</t>
  </si>
  <si>
    <t>Taksa për parkim publik,kampim,rekreacion</t>
  </si>
  <si>
    <t>II . GJOBAT NGA GJYKATAT</t>
  </si>
  <si>
    <t>III . GJOBAT NË TRAFIK</t>
  </si>
  <si>
    <t>IV . DONACIONET</t>
  </si>
  <si>
    <t>`- EU - Unioni europian</t>
  </si>
  <si>
    <t>Avans për para të imëta (petty cash)</t>
  </si>
  <si>
    <t>Rregullimi i lumenjve</t>
  </si>
  <si>
    <t>Shpenzimet telefonike</t>
  </si>
  <si>
    <t>Struktura e buxhetit aktual është si vijon :</t>
  </si>
  <si>
    <t>Antarësim - Oda e infermierëve të Kosovës</t>
  </si>
  <si>
    <t xml:space="preserve">Puntorët me kontratë ( jo në listen e pagave ) </t>
  </si>
  <si>
    <t xml:space="preserve">                  Dinamika e shpenzimeve për paga dhe meditje nëpër drejtori shënon ecuri të ndryshme , si në raport me periudhën krahasuese poashtu</t>
  </si>
  <si>
    <t>Harduer për teknoogji informative (&lt; se 1.000 € )</t>
  </si>
  <si>
    <t>Shpenzimet tjera të udhëtimit zyrtar jashtë vendit</t>
  </si>
  <si>
    <t>Transfer nga kategoria e investimeve kapitale</t>
  </si>
  <si>
    <t>Subvencionet për entitete publike</t>
  </si>
  <si>
    <t>Subvencionet për entitete publike ( teatër, bibliotekë )</t>
  </si>
  <si>
    <t>Subvencionet për entitete jopublike</t>
  </si>
  <si>
    <t>komunale , shërbime publike.</t>
  </si>
  <si>
    <t xml:space="preserve">                   19595  -  ZYRA KOMUNALE PËR KOMUNITETE DHE KTHIM</t>
  </si>
  <si>
    <t xml:space="preserve">                   Zyra Komunale për komunitete e kthim sipas funkcionit që ka nuk krijon të hyra.</t>
  </si>
  <si>
    <t>Zyra e Kryetarit , sipas funksionit që ka , nuk bën grumbullim të të hyrave.</t>
  </si>
  <si>
    <t xml:space="preserve">planifikimi për vitin raportues .   </t>
  </si>
  <si>
    <t>EU-unioni europian</t>
  </si>
  <si>
    <t>Donacionet e jashtme-</t>
  </si>
  <si>
    <t>EU - Unioni europian</t>
  </si>
  <si>
    <t>Totali ( 1+2+3+4+5+6 ) :</t>
  </si>
  <si>
    <t xml:space="preserve"> për periudhën raportuese .</t>
  </si>
  <si>
    <t>Shkolla e artit " Odhise Paskali "</t>
  </si>
  <si>
    <t>Gjimnazi " Bedri Pejani "</t>
  </si>
  <si>
    <t xml:space="preserve">Dinamika dhe struktura e të hyrave të grumbulluara  mund të përcjellet nga pasqyra tabelare por vlen të ceket se të hyrat nga taksa </t>
  </si>
  <si>
    <t xml:space="preserve">gjatë periudhës raportuese . </t>
  </si>
  <si>
    <t>26</t>
  </si>
  <si>
    <t>27-28</t>
  </si>
  <si>
    <t>29-30</t>
  </si>
  <si>
    <t>36</t>
  </si>
  <si>
    <t>38</t>
  </si>
  <si>
    <t>39</t>
  </si>
  <si>
    <t xml:space="preserve"> II. Emergjenca - zjarrëfikësat</t>
  </si>
  <si>
    <t>Gjobat nga pyjet</t>
  </si>
  <si>
    <t>Qeveria Italiane</t>
  </si>
  <si>
    <t>Përodrime tjera të hapsirës</t>
  </si>
  <si>
    <t>Ndërtimi I rrugëve regjionale</t>
  </si>
  <si>
    <t>Taksa administrative pë fletëkërkesë</t>
  </si>
  <si>
    <t xml:space="preserve">   61-Qeveria Zvicerane</t>
  </si>
  <si>
    <t>I.</t>
  </si>
  <si>
    <t>Granti I përcaktuar I donatorëve</t>
  </si>
  <si>
    <t>6</t>
  </si>
  <si>
    <t xml:space="preserve">                  Shpenzimi i buxhetit për nëntë muaj është si vijon :</t>
  </si>
  <si>
    <t>7 - 20</t>
  </si>
  <si>
    <t>21</t>
  </si>
  <si>
    <t>22</t>
  </si>
  <si>
    <t>24</t>
  </si>
  <si>
    <t>28</t>
  </si>
  <si>
    <t>29</t>
  </si>
  <si>
    <t>30-31</t>
  </si>
  <si>
    <t>31-32</t>
  </si>
  <si>
    <t>34-35</t>
  </si>
  <si>
    <t>35-36</t>
  </si>
  <si>
    <t>37-38</t>
  </si>
  <si>
    <t xml:space="preserve">Xhipa dhe Kombibus </t>
  </si>
  <si>
    <t xml:space="preserve">Objekte Memoriale </t>
  </si>
  <si>
    <t xml:space="preserve">Pagesa per Vendime Gjyqesore </t>
  </si>
  <si>
    <t>Participimet</t>
  </si>
  <si>
    <t xml:space="preserve">Shërbimet Kulturore </t>
  </si>
  <si>
    <t xml:space="preserve">Teatri </t>
  </si>
  <si>
    <t>Shpenzimi i buxhetit për nëntë muaj është si vijon :</t>
  </si>
  <si>
    <t>0</t>
  </si>
  <si>
    <t xml:space="preserve">                   Shpenzimi i buxhetit për Nentë muaj është si vijon :</t>
  </si>
  <si>
    <t xml:space="preserve">                   Shpenzimi i buxhetit për Nentë  muaj është si vijon :</t>
  </si>
  <si>
    <t>Shpenzimi i buxhetit për Nentë  muaj është si vijon :</t>
  </si>
  <si>
    <t xml:space="preserve">                 Shpenzimi i buxhetit për Nentë muaj është si vijon :</t>
  </si>
  <si>
    <t xml:space="preserve">                  Shpenzimi i buxhetit për Nentë muaj është si vijon :</t>
  </si>
  <si>
    <t>Shpenzimi i buxhetit për Nentë muaj është si vijon :</t>
  </si>
  <si>
    <t xml:space="preserve">                     Shpenzimi i buxhetit për Nentë muaj është si vijon :</t>
  </si>
  <si>
    <t>4 (pcf4)</t>
  </si>
  <si>
    <t xml:space="preserve">Drejtorati për Bujqësi, pylltari, zhvillim rural në shumën      </t>
  </si>
  <si>
    <t>Drejtorati për Arsim dhe shkencë - arsim fillor</t>
  </si>
  <si>
    <t>UNDP</t>
  </si>
  <si>
    <t>Qeveria Kroate</t>
  </si>
  <si>
    <t>Qeveria Zvicerane</t>
  </si>
  <si>
    <t>UN - Habitat</t>
  </si>
  <si>
    <t>Taksa per certifikata te pronesise dhe kopje plani</t>
  </si>
  <si>
    <t>Rezervat</t>
  </si>
  <si>
    <t>Sherbimet kulturore</t>
  </si>
  <si>
    <t>Paisje muzikore</t>
  </si>
  <si>
    <t>I - IX - 2022</t>
  </si>
  <si>
    <t>Licenca per pranim teknik lokalit</t>
  </si>
  <si>
    <t>Provizioni bankar - Raiffeisen PCB</t>
  </si>
  <si>
    <t>Licenca për pranim teknik të lokalit</t>
  </si>
  <si>
    <t>Të hyrat vetenake</t>
  </si>
  <si>
    <t>Donacionet</t>
  </si>
  <si>
    <t>EU-UNIONI EUROPIAN</t>
  </si>
  <si>
    <t>Taksa për certifikata të pronësisë dhe kopje plani</t>
  </si>
  <si>
    <t xml:space="preserve">Donacionet 49 EU-UNIONI EUROPIAN </t>
  </si>
  <si>
    <t xml:space="preserve">Drejtorati për Shërbime Publike - Infrastruktura rrugore - Pejë  në shumën       </t>
  </si>
  <si>
    <t>më e shpejte në raport me periudhën krahasuese.</t>
  </si>
  <si>
    <t>shpenzimeve gjithmbarshme .</t>
  </si>
  <si>
    <t>17</t>
  </si>
  <si>
    <t xml:space="preserve">  </t>
  </si>
  <si>
    <t>I - XII - 2023</t>
  </si>
  <si>
    <t xml:space="preserve">                                               Taksa per parkim publik kampim rekreacion </t>
  </si>
  <si>
    <t>Shërbimet Rezidenciale Pejë</t>
  </si>
  <si>
    <t>Depot</t>
  </si>
  <si>
    <t>Softwer</t>
  </si>
  <si>
    <t>49 EU - Unioni europian</t>
  </si>
  <si>
    <t>I - IX - 2023</t>
  </si>
  <si>
    <r>
      <t>Donacionet e jashtme, në lartësi prej 336,102.89</t>
    </r>
    <r>
      <rPr>
        <b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janë nga:</t>
    </r>
  </si>
  <si>
    <t>Save the children</t>
  </si>
  <si>
    <r>
      <t xml:space="preserve">             </t>
    </r>
    <r>
      <rPr>
        <b/>
        <sz val="11"/>
        <color theme="1"/>
        <rFont val="Calibri"/>
        <family val="2"/>
        <scheme val="minor"/>
      </rPr>
      <t xml:space="preserve">   </t>
    </r>
    <r>
      <rPr>
        <b/>
        <sz val="10"/>
        <color theme="1"/>
        <rFont val="Arial Narrow"/>
        <family val="2"/>
      </rPr>
      <t xml:space="preserve">  </t>
    </r>
  </si>
  <si>
    <t xml:space="preserve">                  Dinamikë më të shpejtë në raport me periudhën krahasuese shënojnë edhe pagesat për investime kapitale dhe të</t>
  </si>
  <si>
    <t>46-97</t>
  </si>
  <si>
    <t xml:space="preserve">                                         Granti I Donatoreve të mbrendshëm</t>
  </si>
  <si>
    <t>Drejtorati i Bujqësis</t>
  </si>
  <si>
    <t xml:space="preserve">Drejtorati I Arsimit </t>
  </si>
  <si>
    <t>Sistemi I ujitjes</t>
  </si>
  <si>
    <t>Në emër te Transfereve dhe subvencione nuk janë planifikuar mjete, prandaj nuk ka shpenzim për to.</t>
  </si>
  <si>
    <t xml:space="preserve">                  Në emër te Transfereve dhe subvencione nuk janë planifikuar mjete, prandaj nuk ka shpenzim për to.</t>
  </si>
  <si>
    <t xml:space="preserve">             </t>
  </si>
  <si>
    <t xml:space="preserve">                  Në raport me periudhën e njajtë të vitit paraprak dinamika e grumbullimit të të hyrave gjatë periudhës Janar - Shtator të vitit 2023 prej aktivitete të veta  </t>
  </si>
  <si>
    <t>75592 - Shërbimet Rezidenciale Pejë</t>
  </si>
  <si>
    <t>54</t>
  </si>
  <si>
    <t>12</t>
  </si>
  <si>
    <t>7</t>
  </si>
  <si>
    <t>5</t>
  </si>
  <si>
    <t xml:space="preserve">Nga kapitale </t>
  </si>
  <si>
    <t>Kultura (13) 7,855.20 €, Arsim I mesem (13) 4,760.00 €</t>
  </si>
  <si>
    <t>Shërbime publike - Infrastruktura rrugore - Pejë (30),</t>
  </si>
  <si>
    <r>
      <t xml:space="preserve">Buxh. e Fin. 403.89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>,(13)42.69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, (30)361.20 si dhe Arsimit Fillor (30)17.00 </t>
    </r>
    <r>
      <rPr>
        <sz val="10"/>
        <color indexed="8"/>
        <rFont val="Calibri"/>
        <family val="2"/>
      </rPr>
      <t>€</t>
    </r>
  </si>
  <si>
    <t>Arsim I mesem (13)</t>
  </si>
  <si>
    <t>JANAR – SHTATOR  TË VITIT 2024</t>
  </si>
  <si>
    <t>PEJË , TETOR 2024</t>
  </si>
  <si>
    <t>Buxheti i realizuar komunal për periudhën Janar - Shtator  2024</t>
  </si>
  <si>
    <t>Të hyrat vetanake të realizuara gjatë periudhës Janar - Shtator  2024</t>
  </si>
  <si>
    <t>Shpenzimet e realizuara buxhetore për periudhën Janar - Shtator  2024</t>
  </si>
  <si>
    <t>BUXHETI I REALIZUAR KOMUNAL PËR PERIUDHËN JANAR - SHTATOR TË VITIT 2024</t>
  </si>
  <si>
    <t xml:space="preserve">                 Ecuria e të hyrave të arketuara dhe shpenzimeve të realizuara  gjatë periudhës Janar-Shtator  të vitit 2024 është e prezentuar tek të gjitha</t>
  </si>
  <si>
    <t>Sipas Ligjit Nr. 07/L-001 mbi ndarjet buxhetore për Republikën e Kosovës për vitin 2024 Komuna e Pejës ka planifikuar të punësojë</t>
  </si>
  <si>
    <t>I - XII - 2024</t>
  </si>
  <si>
    <t>340</t>
  </si>
  <si>
    <t>I - VI - 2023</t>
  </si>
  <si>
    <t>Shërbimet Sociale - Pejë</t>
  </si>
  <si>
    <t>Shërbimet Rezedenciale - Pejë</t>
  </si>
  <si>
    <t xml:space="preserve">                  TË  HYRAT VETANAKE TË REALIZUARA GJATË PERIUDHËS JANAR - SHTATOR TË VITIT 2024</t>
  </si>
  <si>
    <t>Gjatë periudhës Janar - Shtator të vitit 2024 dinamika dhe struktura e të hyrave të realizuara vetanake shënon ecuri të ndryshme , si në</t>
  </si>
  <si>
    <t>raport me planifikimin për vitin 2024, poashtu edhe në raport me realizimin gjatë periudhës krahasuese.</t>
  </si>
  <si>
    <t xml:space="preserve">                  SHPENZIMET E REALIZUARA BUXHETORE GJATË PERIUDHËS JANAR-SHTATOR TË VITIT 2024</t>
  </si>
  <si>
    <t xml:space="preserve">                  Në pajtim me Ligjin Nr.07 /L- 001 për Buxhetin e Republikës së Kosovës për vitin 2024, buxheti komunal për vitin 2024 duket si vijon :</t>
  </si>
  <si>
    <t>Zhvill. Ekon. 101,276.18€, Kultura 12,372.20 €, Arsimi I mesem  10,754.00€</t>
  </si>
  <si>
    <t>I - IX- 2023</t>
  </si>
  <si>
    <t>I -IX- 2023</t>
  </si>
  <si>
    <t>Shërbimet e vecanta-Konsulente dhe kon.indi</t>
  </si>
  <si>
    <t>Sigurimi fizik I objekteve publike</t>
  </si>
  <si>
    <t>Furnizim me ushqim për kafshë</t>
  </si>
  <si>
    <t>Drutë dhe prodhimet e drurit për ngrohje</t>
  </si>
  <si>
    <t>Shërbime Rezedencijale - Pejë</t>
  </si>
  <si>
    <t>Shërbime Rezedenciale - Pejë</t>
  </si>
  <si>
    <t>Transferet kapitale per entitetet jopublike</t>
  </si>
  <si>
    <t>Transporti I nxënësave</t>
  </si>
  <si>
    <t>Rikstruktuimi I potencijal fizik</t>
  </si>
  <si>
    <t xml:space="preserve">               Donatoret e jashtem</t>
  </si>
  <si>
    <t>Fushat sportive</t>
  </si>
  <si>
    <r>
      <t xml:space="preserve">Nga subvencione 40,408.80 </t>
    </r>
    <r>
      <rPr>
        <sz val="10"/>
        <color indexed="8"/>
        <rFont val="Calibri"/>
        <family val="2"/>
      </rPr>
      <t xml:space="preserve">€ </t>
    </r>
    <r>
      <rPr>
        <sz val="10"/>
        <color indexed="8"/>
        <rFont val="Arial Narrow"/>
        <family val="2"/>
      </rPr>
      <t xml:space="preserve">dhe në kapitale 2,015.49 </t>
    </r>
    <r>
      <rPr>
        <sz val="10"/>
        <color indexed="8"/>
        <rFont val="Calibri"/>
        <family val="2"/>
      </rPr>
      <t>€</t>
    </r>
  </si>
  <si>
    <r>
      <t xml:space="preserve">Arsim parashkollor (11) 2.589.72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, Arsim fillor (11) 9,176.37 </t>
    </r>
    <r>
      <rPr>
        <sz val="10"/>
        <color indexed="8"/>
        <rFont val="Calibri"/>
        <family val="2"/>
      </rPr>
      <t>€, (13) 5.00 €</t>
    </r>
  </si>
  <si>
    <t>Buxheti fillestar për vitin 2024 kap shumën prej 37,457,026.00 € dhe strukturën e tij e përbëjnë :</t>
  </si>
  <si>
    <t>Granti Qeveritar 32,092,009.00 € dhe</t>
  </si>
  <si>
    <t>Të hyrat vetanake 5,365,017.00 €</t>
  </si>
  <si>
    <r>
      <t>Buxheti total për dymbedhjetë muaj të vitit 2024 arrinë shumën prej</t>
    </r>
    <r>
      <rPr>
        <b/>
        <sz val="10"/>
        <color indexed="8"/>
        <rFont val="Arial Narrow"/>
        <family val="2"/>
      </rPr>
      <t xml:space="preserve"> 40,180,750.68 €</t>
    </r>
    <r>
      <rPr>
        <sz val="10"/>
        <color indexed="8"/>
        <rFont val="Arial Narrow"/>
        <family val="2"/>
      </rPr>
      <t xml:space="preserve"> dhe është për 2,723,724.68</t>
    </r>
    <r>
      <rPr>
        <b/>
        <sz val="10"/>
        <color indexed="8"/>
        <rFont val="Arial Narrow"/>
        <family val="2"/>
      </rPr>
      <t xml:space="preserve"> €</t>
    </r>
    <r>
      <rPr>
        <sz val="10"/>
        <color indexed="8"/>
        <rFont val="Arial Narrow"/>
        <family val="2"/>
      </rPr>
      <t xml:space="preserve"> më i lartë se buxheti fillestar. </t>
    </r>
  </si>
  <si>
    <r>
      <t>Mjetet e Grantit qeveritar përbëjnë 79.87 % të buxhetit të gjithmbarshëm dhe janë në shumën 32,092,008.87</t>
    </r>
    <r>
      <rPr>
        <b/>
        <sz val="10"/>
        <color indexed="8"/>
        <rFont val="Arial Narrow"/>
        <family val="2"/>
      </rPr>
      <t xml:space="preserve"> € </t>
    </r>
    <r>
      <rPr>
        <sz val="10"/>
        <color indexed="8"/>
        <rFont val="Arial Narrow"/>
        <family val="2"/>
      </rPr>
      <t>.</t>
    </r>
  </si>
  <si>
    <r>
      <t>Të hyrat vetanake në shumë prej 5,365,016.99</t>
    </r>
    <r>
      <rPr>
        <b/>
        <sz val="10"/>
        <color indexed="8"/>
        <rFont val="Arial Narrow"/>
        <family val="2"/>
      </rPr>
      <t xml:space="preserve"> €</t>
    </r>
    <r>
      <rPr>
        <sz val="10"/>
        <color indexed="8"/>
        <rFont val="Arial Narrow"/>
        <family val="2"/>
      </rPr>
      <t xml:space="preserve"> në buxhetin e gjithmbarshëm marrin pjesë me 13.35 % .</t>
    </r>
  </si>
  <si>
    <r>
      <t>Të hyrat e bartura nga viti 2023 arijne shumën 1,599,327.18</t>
    </r>
    <r>
      <rPr>
        <b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>.</t>
    </r>
  </si>
  <si>
    <r>
      <t>Donacionet ë mbremshëm , në lartësi prej</t>
    </r>
    <r>
      <rPr>
        <b/>
        <sz val="10"/>
        <color indexed="8"/>
        <rFont val="Arial Narrow"/>
        <family val="2"/>
      </rPr>
      <t xml:space="preserve"> 65,881.10 €</t>
    </r>
    <r>
      <rPr>
        <sz val="10"/>
        <color indexed="8"/>
        <rFont val="Arial Narrow"/>
        <family val="2"/>
      </rPr>
      <t xml:space="preserve"> ose 0.16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buxheti total janë nga :</t>
    </r>
  </si>
  <si>
    <t>I - IX - 2024</t>
  </si>
  <si>
    <t>Të hyrat në pritje për shpërdndarje</t>
  </si>
  <si>
    <t>Licencat për marka tregtare dhe patentim</t>
  </si>
  <si>
    <t xml:space="preserve">                  Komuna e Pejës sipas planit për vitin fiskal 2024 ka planifikuar të hyra vetanake në shumë prej 5,365,017.00 € .  </t>
  </si>
  <si>
    <t xml:space="preserve">                  Gjatë  periudhës Janar-Shtator të vitit 2024 janë realizuar të hyra vetanake në shumë 3,729,299.11 € respektivisht 10.04 % më pak  se</t>
  </si>
  <si>
    <t xml:space="preserve"> gjatë periudhës Janar - Shtator të vitit 2023 ndërsa plani për vitin 2024 është realizuar 69.51 %. </t>
  </si>
  <si>
    <t>Donacionet e realizuara gjatë periudhës raportuese janë nga  Save the Children ne vlere 8,632.95 € në Arsim fillor, nga Qeveria Zvricrane</t>
  </si>
  <si>
    <t xml:space="preserve">Në raport me periudhën krahasuese donacionet e realizuara janë më të larta  për 197.16 % </t>
  </si>
  <si>
    <t>Të hyrat e bartura nga viti 2023</t>
  </si>
  <si>
    <t>Mjetet e Grantit qeveritar janë shpenzuar në shumën 26,328,246.85€  ose 82.04 % nga plani.</t>
  </si>
  <si>
    <t xml:space="preserve">                  Në shumën e gjithmbarshme të shpenzimeve pagesat nga ky burim marrin pjesë me 87.07 % .</t>
  </si>
  <si>
    <r>
      <t xml:space="preserve">                  Pasojnë të hyrat vetanake me 9.44 %, të hyrat e bartura nga viti paraprak me 2.55 %, don.e brend. me 0.13 </t>
    </r>
    <r>
      <rPr>
        <sz val="10"/>
        <rFont val="Calibri"/>
        <family val="2"/>
      </rPr>
      <t xml:space="preserve">% </t>
    </r>
    <r>
      <rPr>
        <sz val="10"/>
        <rFont val="Arial Narrow"/>
        <family val="2"/>
      </rPr>
      <t>dhe donacionet e jashtme me 0.80 %.</t>
    </r>
  </si>
  <si>
    <r>
      <t xml:space="preserve">drejtorati shëndetesise me 10.85 %, administrata me 7.63 % , bujqësi me 2.17 </t>
    </r>
    <r>
      <rPr>
        <sz val="10"/>
        <color indexed="8"/>
        <rFont val="Calibri"/>
        <family val="2"/>
      </rPr>
      <t xml:space="preserve">% </t>
    </r>
    <r>
      <rPr>
        <sz val="10"/>
        <color indexed="8"/>
        <rFont val="Arial Narrow"/>
        <family val="2"/>
      </rPr>
      <t>drejtorati për buxhet e financa me 1.93 % , etj.</t>
    </r>
  </si>
  <si>
    <r>
      <t xml:space="preserve">                   Bartësi kryesor i shpenzimit të buxhetit për periudhën raportuese është drejtorati i arsimit me 44.76 %.Pason drejtorati punë komunale sh.publ. me 19.15 </t>
    </r>
    <r>
      <rPr>
        <sz val="10"/>
        <color indexed="8"/>
        <rFont val="Calibri"/>
        <family val="2"/>
      </rPr>
      <t>%,</t>
    </r>
  </si>
  <si>
    <t xml:space="preserve">Pagat dhe meditjet gjatë periudhës raportuese kapin shumën prej 16,650,485.35 € . </t>
  </si>
  <si>
    <t>Në krahasim me periudhën Janar - Shtator të vitit 2023 pagesat për këtë kategori buxhetore shënojnë dinamikë më të lartë për 11.29%</t>
  </si>
  <si>
    <t>ndërsa , plani për vitin 2024 është realizuar 90.93 % .</t>
  </si>
  <si>
    <t xml:space="preserve">                   Në shumën e gjithmbarshme të shpenzimeve buxhetore pagat dhe meditjet marrin pjesë me 55.07 % .</t>
  </si>
  <si>
    <t xml:space="preserve">                   Për mallra dhe shërbime janë shpenzuar 3,772,288.73 € ose 12.48 % të shpenzimeve të gjithmbarshme . Në raport me periudhën </t>
  </si>
  <si>
    <t xml:space="preserve">krahasuese dinamika e tyre është më e shpejtë për 22.65 % ndërsa plani vjetor është realizuar 72.04 % . </t>
  </si>
  <si>
    <t xml:space="preserve">                  Shpenzimet komunale për nëntë muaj të vitit 2024 përbëjnë 2.36 %  të shpenzimeve të gjithmbarshme buxhetore . </t>
  </si>
  <si>
    <t xml:space="preserve">                  Pagesat për këtë kategori buxhetore arrijnë shumën prej 713,627.68 €. Në raport me periudhën e njajtë të vitit paraprak shpenzimet</t>
  </si>
  <si>
    <t>komunale shënojnë rritje për 21.30 % ndërsa , plani për vitin 2024 është realizuar 73.67 % .</t>
  </si>
  <si>
    <t xml:space="preserve">                  Pagesat për transfere dhe subvencione shënojnë dinamikë më të shpejt  për 35.15 % dhe arrijnë shumën 1,044,518.19 € ndërsa plani </t>
  </si>
  <si>
    <t>për vitin 2024 është realizuar 92.42 %.Në shumën e gjithmbarshme të shpenzimeve pagesat për transfere dhe subvencione marrin pjesë me 3.45 %.</t>
  </si>
  <si>
    <t xml:space="preserve">njajtat paraqesin 26.64 % të shpenzimeve të gjithmbarshme buxhetore për këtë periudhë. Në fund të periudhës raportuese shpenzimet për investime </t>
  </si>
  <si>
    <t>kapitale arrijnë shumën prej 8,055,759.99 € .</t>
  </si>
  <si>
    <t xml:space="preserve">                 Kategoria e pagave dhe meditjeve gjatë periudhës Janar-Shtator të vitit 2024 shënon rritje për 11.29 % në raport me periudhën krahasuese</t>
  </si>
  <si>
    <t>dhe arrinë shumën prej 16,650,485.35 € , duke shënuar realizim të planit vjetor 90.93 % .</t>
  </si>
  <si>
    <t xml:space="preserve">                  Bartës i financimit të shpenzimeve për kategorinë e pagave dhe meditjeve janë mjetet e grantit qeveritar , të cilat shënojnë rritje për 12.28 % </t>
  </si>
  <si>
    <t>në raport me periudhën krahasuese dhe paraqesin 91.38 % nga plani për vitin 2024</t>
  </si>
  <si>
    <t>janë nga donacionet e jashtme për puntorë me kontratë të cilët nuk janë në listën e pagave.</t>
  </si>
  <si>
    <t xml:space="preserve">                  Në shumën e gjithmbarshme të shpenzimeve pagesat nga granti qeveritar marrin pjesë me 99.79 % . Diferenca prej 0.21 % për këtë periudhen raportuese  </t>
  </si>
  <si>
    <t>Paga neto</t>
  </si>
  <si>
    <t>Përvoja e punes</t>
  </si>
  <si>
    <t>Shtesa e vecante për të zgjedhurit</t>
  </si>
  <si>
    <t>Shtesa për vëllimin e punës</t>
  </si>
  <si>
    <t>Shtesat tranzitore</t>
  </si>
  <si>
    <t>Shtesa për nëpunësin e sistemit shëndetesor</t>
  </si>
  <si>
    <t>Kujdestaria, puna gjatë natës dhe puna jastë orarit te punes</t>
  </si>
  <si>
    <t xml:space="preserve">                   Pagat neto përmes listës së pagave paraqesin 62.29 % të shpenzimeve të gjithmbarshme për paga dhe meditje dhe në  krahasim me  </t>
  </si>
  <si>
    <t>periudhën Janar - Shtator të vitit 2023 janë më të ulta per 0.25 %</t>
  </si>
  <si>
    <t>edhe në raport me planifikimin për vitin 2024</t>
  </si>
  <si>
    <r>
      <t xml:space="preserve">Pagesa për Vendime Gjyqesore për këtë periudhen raportuese arijnë shumen prej 3,374,651.47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është për 28.44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me të larta si në njejten periudhen</t>
    </r>
  </si>
  <si>
    <r>
      <t xml:space="preserve">nga viti kaluar dhe paraqet 20.27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shpenzimeve gjithembarshme. </t>
    </r>
  </si>
  <si>
    <t xml:space="preserve">                  Gjatë periudhës Janar - Shtator të vitit 2024 pagesat për mallra dhe shërbime kapin shumën prej 3,772,288.73 € dhe në raport me </t>
  </si>
  <si>
    <t xml:space="preserve">periudhën krahasuese shënojnë dinamikë më të lartë për 22.65 % ndërsa plani vjetor është realizuar 72.04 %.   </t>
  </si>
  <si>
    <t xml:space="preserve">                   Nga granti qeveritar është bërë financimi i shpenzimeve për mallra dhe shërbime në shumë prej 3,191,077.81 € ose 84.59 % , nga të </t>
  </si>
  <si>
    <r>
      <t xml:space="preserve">hyrat vetanake 519,846.39 € ose 13.78 %, nga mjetet e bartura 19,560.26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ose 0.52 </t>
    </r>
    <r>
      <rPr>
        <sz val="10"/>
        <color indexed="8"/>
        <rFont val="Calibri"/>
        <family val="2"/>
      </rPr>
      <t xml:space="preserve">%, nga </t>
    </r>
    <r>
      <rPr>
        <sz val="10"/>
        <color indexed="8"/>
        <rFont val="Arial Narrow"/>
        <family val="2"/>
      </rPr>
      <t xml:space="preserve">donacionet e jashtme 41,804.27 € respektivisht 1.11 %. </t>
    </r>
  </si>
  <si>
    <t>periudhën krahasuese poashtu edhe në raport me planifikimin për vitin 2024</t>
  </si>
  <si>
    <t>Akomodimi për mikpritje të delegacioneve të jashtme</t>
  </si>
  <si>
    <t>Derivate për automjete, gjeneratore dhe makineri</t>
  </si>
  <si>
    <t>Mirëmbjatja rutinore</t>
  </si>
  <si>
    <t>Kompensimi  përfaqësimit mbrenda vendit - drekat zyrtare</t>
  </si>
  <si>
    <t>Pagesa për tarifa - Vendimet gjyqësore/përmbarimore</t>
  </si>
  <si>
    <t>Pagesat gjobat ndërinstitucionale</t>
  </si>
  <si>
    <t>Në raport me vitin e kaluar nëntë mujorshi I ketij viti ka tejkalim te shpenzimeve ne keto kodet ekonomike:</t>
  </si>
  <si>
    <r>
      <t xml:space="preserve">Për akomodim gjatë udhetim zyrtar jasht vendit ka rritje për 80.38 </t>
    </r>
    <r>
      <rPr>
        <sz val="10"/>
        <color indexed="8"/>
        <rFont val="Calibri"/>
        <family val="2"/>
      </rPr>
      <t xml:space="preserve">% dhe tejkalim nga plani 73.01 %, janë paguar 11,245.66 €, </t>
    </r>
    <r>
      <rPr>
        <sz val="10"/>
        <color indexed="8"/>
        <rFont val="Arial Narrow"/>
        <family val="2"/>
      </rPr>
      <t xml:space="preserve"> </t>
    </r>
  </si>
  <si>
    <r>
      <t xml:space="preserve">Për shpenzime e telofonise mobile janë paguar 19,949.97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, për 14.14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ma shumë se në njejtën periuhden nga viti paraprak ose 83.12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plani.</t>
    </r>
  </si>
  <si>
    <r>
      <t xml:space="preserve">Për shpenzime e përfaqesimit dhe avokatures janë paguar 49,190.20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,në krahasim me periudhen janar-shtator të vitit të kaluar ka rritje për 388.87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ose 196.76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plani.</t>
    </r>
  </si>
  <si>
    <r>
      <t xml:space="preserve">Për shpenzimet të ndryshme intelektuale dhe keshidhense janë shpenzuar  8,810.92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mbi 1000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ma shumë se ne vitin e kaluar dhe paraqet tejkalimin e planit për 176.22 </t>
    </r>
    <r>
      <rPr>
        <sz val="10"/>
        <color indexed="8"/>
        <rFont val="Calibri"/>
        <family val="2"/>
      </rPr>
      <t>%.</t>
    </r>
  </si>
  <si>
    <r>
      <t xml:space="preserve">Për shpenzime tjera kontraktuese janë shpenzuar 1,407,391.69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 ose 6.55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ma pak se ne njejten periudhen nga viti paraprak, dhe 67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plani.</t>
    </r>
  </si>
  <si>
    <r>
      <t xml:space="preserve">Për paisje tjera ka rritje për 117.21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viti paraprak për njejten periudhe raportuese, janë paguar 58,413.07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, ose 177.55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plani.</t>
    </r>
  </si>
  <si>
    <r>
      <t xml:space="preserve"> ose 120.50 % nga plani. Për akomodim për mikpritje të delegacioneve të jashtë është paguar 10,293.00 </t>
    </r>
    <r>
      <rPr>
        <sz val="10"/>
        <color indexed="8"/>
        <rFont val="Calibri"/>
        <family val="2"/>
      </rPr>
      <t>€, 9.11 % ma pak se në të njejten periudhen nga viti paraprak,</t>
    </r>
  </si>
  <si>
    <r>
      <t xml:space="preserve"> ose 205.87 % nga plani. Për naftë për ngrohje qendrore janë shpenzuar 138,390.89 </t>
    </r>
    <r>
      <rPr>
        <sz val="10"/>
        <color indexed="8"/>
        <rFont val="Calibri"/>
        <family val="2"/>
      </rPr>
      <t xml:space="preserve">€, 9.40 % me shumë se gjatë periudhen të njejte nga viti paraprak, ose 36.23 % </t>
    </r>
  </si>
  <si>
    <r>
      <t xml:space="preserve">nga plani. Drutë dhe prodhimet e drurit për ngrohje janë shpenzuar 171,352.34 </t>
    </r>
    <r>
      <rPr>
        <sz val="10"/>
        <color indexed="8"/>
        <rFont val="Calibri"/>
        <family val="2"/>
      </rPr>
      <t>€,</t>
    </r>
    <r>
      <rPr>
        <sz val="10"/>
        <color indexed="8"/>
        <rFont val="Arial Narrow"/>
        <family val="2"/>
      </rPr>
      <t xml:space="preserve"> 1.32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me shumë se nga viti paraprak, ose 44.33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plani.</t>
    </r>
  </si>
  <si>
    <r>
      <t xml:space="preserve">Për Derivate për automjete, gjeneratore dhe makineri janë shpenzuar 179,824.91 </t>
    </r>
    <r>
      <rPr>
        <sz val="10"/>
        <color indexed="8"/>
        <rFont val="Calibri"/>
        <family val="2"/>
      </rPr>
      <t>€, 2.50% me shumë se nga viti paraprak, ose 63.54 % nga plani.</t>
    </r>
  </si>
  <si>
    <r>
      <t xml:space="preserve">Për Mirembajtjen dhe riparimi I automjeteve ka rritje për 26.16 </t>
    </r>
    <r>
      <rPr>
        <sz val="10"/>
        <color indexed="8"/>
        <rFont val="Calibri"/>
        <family val="2"/>
      </rPr>
      <t>%, është paguar 53,753.00 € ose 59.73 % nga plani për vitin 2024</t>
    </r>
  </si>
  <si>
    <r>
      <t xml:space="preserve">Për Mirëmbajtja e ndërtesave administrative afariste janë shpenzuar 103,613.40 </t>
    </r>
    <r>
      <rPr>
        <sz val="10"/>
        <rFont val="Calibri"/>
        <family val="2"/>
      </rPr>
      <t>€.</t>
    </r>
  </si>
  <si>
    <t xml:space="preserve">Pjesa më e madhe e shpenzimeve ka të bëjë me shpenzimet për shërbime 42.69 % , respektivisht 1,610,407.70 € , derivatet dhe lëndet </t>
  </si>
  <si>
    <t>djegëse 13 %, ose 490,392.14 €, mirëmbajtja me 22.16 % ose 836,090.04 € , etj.</t>
  </si>
  <si>
    <r>
      <t xml:space="preserve">                             - Drejtorati I administratës dhe personelit me 45.98 </t>
    </r>
    <r>
      <rPr>
        <sz val="10"/>
        <color indexed="8"/>
        <rFont val="Calibri"/>
        <family val="2"/>
      </rPr>
      <t>%</t>
    </r>
  </si>
  <si>
    <t xml:space="preserve">                             - Drejtorati punë komunale,shërbime publike me 17.33 %,</t>
  </si>
  <si>
    <t xml:space="preserve">                             - Drejtorati për  arsimit me 15.47 % dhe </t>
  </si>
  <si>
    <t xml:space="preserve">                             - Drejtorati shëndetesis për  me 11.91 % ,etj. </t>
  </si>
  <si>
    <t xml:space="preserve">                  Pagesat për mallra dhe shërbime të drejtorive të lartëcekura përbëjnë 90.69 % të shpenzimeve për këtë kategori buxhetore.</t>
  </si>
  <si>
    <t xml:space="preserve">                  Gjatë periudhës Janar - Shtator të vitit 2024 shpenzimet komunale kanë arritur shumën prej 713,627.68 € dhe janë për 21.30 % më të </t>
  </si>
  <si>
    <t xml:space="preserve"> larta në krahasim me periudhën e njajtë të vitit paraprak , ndërsa plani vjetor është realizuar 73.67 % .</t>
  </si>
  <si>
    <t xml:space="preserve">                  Burim i financimit të shpenzimeve për këtë kategori buxhetore janë mjetet e grantit qeveritar dhe hyrat vetanake (mjetet e bartura) deri me këtë periudhen.</t>
  </si>
  <si>
    <t xml:space="preserve"> Energjia elektrike - Rryma</t>
  </si>
  <si>
    <t xml:space="preserve"> Shërbimet e ujësjellësit dhe kanalizimit - Uji</t>
  </si>
  <si>
    <t xml:space="preserve">                  Shpenzimet e rrymës për periudhën raportuese kapin shumën prej 592,511.19 € dhe në krahasim me periudhën e njajtë të vitit paraprak</t>
  </si>
  <si>
    <t xml:space="preserve"> janë më të larta për 25.21 % . Pagesat për këtë destinim paraqesin 83.03 % të pagesave të gjithmbarshme për këtë kategori buxhetore . Pasojnë </t>
  </si>
  <si>
    <t xml:space="preserve"> pagesat për Ujin me 8.10 %, shpenzimet  e mbeturinat me 6.52 % dhe shpenzimet telefonike me 2.36 % .</t>
  </si>
  <si>
    <t xml:space="preserve">               </t>
  </si>
  <si>
    <t xml:space="preserve">   Shikuar sipas drejtorive shpenzimet komunale kanë ecurinë si vijon: </t>
  </si>
  <si>
    <t xml:space="preserve"> - Drejtorati për punë komunale , shërbime publike me 49.21 % ,     </t>
  </si>
  <si>
    <t xml:space="preserve"> - Drejtorati i Arsimit me 16.10 % ,  </t>
  </si>
  <si>
    <r>
      <t xml:space="preserve"> - Drejtorati për Shëndetesi me 14.91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,                            </t>
    </r>
  </si>
  <si>
    <t xml:space="preserve"> - Drejtorati i Administratës dhe personelit me 11.18 %, etj.                                </t>
  </si>
  <si>
    <t xml:space="preserve">                  Për nëntë muaj të vitit 2024 në emër të transfereve dhe subvencioneve janë paguar 1,044,518.19 €,që është realizim i planit vjetor 92.42 %. </t>
  </si>
  <si>
    <t>Dinamika e tyre është për 35.15 % më e larte në raport me periudhën krahasuese .</t>
  </si>
  <si>
    <r>
      <t xml:space="preserve">Nga donatoret e brendshem janë shpenzuar 40,408.80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>.</t>
    </r>
  </si>
  <si>
    <t xml:space="preserve">                  Pagesat e lartëcekura janë financuar nga të hyrat vetanake dhe donatoret e brendshëmm.</t>
  </si>
  <si>
    <t>Transferet sociale për individë</t>
  </si>
  <si>
    <t xml:space="preserve">                  Subvencionet për entitete jopublike shënojnë rritje  për 44.62 % në krahasim me vitin 2023 dhe arrijnë shumën prej 601,833.33 € , duke</t>
  </si>
  <si>
    <r>
      <t xml:space="preserve">shënuar tejkalimin e planit për 28.05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>.</t>
    </r>
  </si>
  <si>
    <r>
      <t xml:space="preserve">                  Pagesat për transferet sociale për individë shënojnë një ulje nga 15.41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dhe arrijnë shumën 301,749.20 € dhe paraqesin realizimin te planit për 83.82 %.</t>
    </r>
  </si>
  <si>
    <r>
      <t xml:space="preserve">                  Pagesat për vendime gjyqësore arrijnë shumën prej 126,665.66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për këtë periudhen raportuese.</t>
    </r>
  </si>
  <si>
    <r>
      <t xml:space="preserve">Nga Zyra e Kryetarit  janë paguar 24.95 % të shpenzimeve për këtë kategori buxhetore. Pason drejtorati Kultur, Rini dhe Sport me 33.16 </t>
    </r>
    <r>
      <rPr>
        <sz val="10"/>
        <rFont val="Calibri"/>
        <family val="2"/>
      </rPr>
      <t>%</t>
    </r>
  </si>
  <si>
    <r>
      <t xml:space="preserve">Bujqësia me 23.00 </t>
    </r>
    <r>
      <rPr>
        <sz val="10"/>
        <rFont val="Calibri"/>
        <family val="2"/>
      </rPr>
      <t>%, Shërbime Sociale me 7.64 %</t>
    </r>
    <r>
      <rPr>
        <sz val="10"/>
        <rFont val="Arial Narrow"/>
        <family val="2"/>
      </rPr>
      <t xml:space="preserve"> dhe  Kujdesi Primar Shendetesor  me 4.52 %.</t>
    </r>
  </si>
  <si>
    <t xml:space="preserve">   Shikuar sipas drejtorive ecuria e shpenzimeve për projekte kapitale është si vijon :</t>
  </si>
  <si>
    <t xml:space="preserve">          </t>
  </si>
  <si>
    <t>është si vijon:</t>
  </si>
  <si>
    <t xml:space="preserve">                  Gjatë periudhës Janar - Shtator të vitit 2024 janë shpenzuar për investime kapitale 8,055,759.99 € , që është për 37.60 % më shumë se gjatë</t>
  </si>
  <si>
    <t xml:space="preserve"> periudhës së njajtë të vitit 2023, ndërsa plani për vitin 2024 është realizuar 55.43 % .</t>
  </si>
  <si>
    <t xml:space="preserve">                  Burimi kryesor i financimit të investimeve kapitale janë mjetet e grantit qeveritar me 72.35 %, të cilat kapin shumën prej 5,828,264.55 € .</t>
  </si>
  <si>
    <r>
      <t xml:space="preserve">Pasojnë të hyrat vetanake  me 16.53 % ose 1,331,218.25 € dhe mjetet e bartura me shumë 730,287.19 € ose 9.07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shpenzimeve gjithembarshme.</t>
    </r>
  </si>
  <si>
    <r>
      <t xml:space="preserve">Donacionet e jashtme me 2.06 % shpenzimeve të gjithtembarshme ose 165,990.00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. </t>
    </r>
  </si>
  <si>
    <t xml:space="preserve">                  Nga planifikimi i gjithmbarshëm i shpenzimeve për investime kapitale 4,431,976.74 € ose 55.02 % janë realizuar pranë drejtoratit për punë</t>
  </si>
  <si>
    <t>Shpenzimet për projekte kapitale të drejtorive të lartëcekura paraqesin 73.72 % të shpenzimit të gjithmbarshëm për këtë  kategori buxhetore.</t>
  </si>
  <si>
    <t>Urat</t>
  </si>
  <si>
    <t>Kamionete</t>
  </si>
  <si>
    <t>Parqet dhe hapësirat publike</t>
  </si>
  <si>
    <r>
      <t xml:space="preserve">Për ndertesa janë shpenzuar mjete financiare 142.28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me shumë se gjatë njejten periudhen nga viti paraprak ose 2,016,112.71 </t>
    </r>
    <r>
      <rPr>
        <sz val="10"/>
        <color indexed="8"/>
        <rFont val="Calibri"/>
        <family val="2"/>
      </rPr>
      <t xml:space="preserve">€ qe është 57.48 % nga </t>
    </r>
  </si>
  <si>
    <r>
      <t xml:space="preserve">plani, ose 25.03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shpenzimeve gjithmbarshme. Ritja ka shenuar të ndërtesat administrative afariste, objektet arsimore, objektet shëndetësore, objektet sportive e tjera.</t>
    </r>
  </si>
  <si>
    <r>
      <t xml:space="preserve">Për ndertimin i rrugeve janë shpenzuar 3,447,073.02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që është 16.38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me shumë së gjate periudhes të njejte nga viti paraprak, plani është realizuar 49.38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</t>
    </r>
  </si>
  <si>
    <r>
      <t xml:space="preserve">dhe permban 42.79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shpenzimeve gjithmbarshme.</t>
    </r>
  </si>
  <si>
    <r>
      <t xml:space="preserve">Për kompjutera janë shpenzuar 45,505.04 </t>
    </r>
    <r>
      <rPr>
        <sz val="10"/>
        <color indexed="8"/>
        <rFont val="Calibri"/>
        <family val="2"/>
      </rPr>
      <t xml:space="preserve">€, plani është realizuar 91.01 %. Për paisje specijale mjekesore janë shpenzuar 63,775.00 € </t>
    </r>
  </si>
  <si>
    <r>
      <t xml:space="preserve">dhe janë për 13.79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ma pak se në njejten periudhen nga viti paraprak. Për paisje tjera janë shpenzurar 15.58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ma shumë se në njejten periudhen nga viti paraprak</t>
    </r>
  </si>
  <si>
    <r>
      <t xml:space="preserve">ose 122,750.60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paraqet tejkalimin e planit për 22.75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>.</t>
    </r>
  </si>
  <si>
    <t xml:space="preserve">Për toka, rregullim të lumenjëve, sistemi I ujitjes dhe parqet gjatë periudhës raportuese janë shpenzuar 991,681.16 € ose 21.28 % ma pak se në njejten </t>
  </si>
  <si>
    <r>
      <t xml:space="preserve">periudhen nga viti paraprak, plani është realizuar 95.77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dhe permban 12.31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shpenzimeve gjithmbarshme.</t>
    </r>
  </si>
  <si>
    <r>
      <t xml:space="preserve">                  Për pagesa  - Vendime gjyqesore janë shpenzuar 1,329,962.46 </t>
    </r>
    <r>
      <rPr>
        <sz val="10"/>
        <color indexed="8"/>
        <rFont val="Calibri"/>
        <family val="2"/>
      </rPr>
      <t>€ nga kjo kategoria ekonomike.</t>
    </r>
  </si>
  <si>
    <t>Shpenzimi i buxhetit për Janar- Shtator të vitit 2024 është si vijon :</t>
  </si>
  <si>
    <t>Shpenzimet e gjithmbarshme për nentë muaj të vitit 2024 kapin shumën prej 447,594.91 € dhe janë për 2.12 % më të larta se gjatë</t>
  </si>
  <si>
    <t xml:space="preserve"> periudhës së njajtë të vitit paraprak, ndërsa plani për vitin 2024 është realizuar 81.27 %.</t>
  </si>
  <si>
    <t xml:space="preserve">                   Pagat dhe meditjet për periudhën raportuese kapin shumën prej 144,580.20 € . Në krahasim me periudhën Janar - Shtator të vitit 2023</t>
  </si>
  <si>
    <t xml:space="preserve">pagesat për këtë kategori buxhetore shënojnë dinamikë më të larte për 31.21 % , ndërsa plani për vitin 2024 është realizuar 67.84 % .  </t>
  </si>
  <si>
    <t xml:space="preserve">                   Në shumën e gjithmbarshme të shpenzimeve buxhetore pagat dhe meditjet marrin pjesë me 32.30 % .</t>
  </si>
  <si>
    <t xml:space="preserve">                   Në emër të mallrave dhe shërbimeve janë shpenzuar 42,415.51 € ose 9.48 % të shpenzimeve të gjithmbarshme.</t>
  </si>
  <si>
    <t xml:space="preserve">                   Në raport me periudhën krahasuese pagesat për mallra dhe shërbime shënojnë dinamikë më të larte për 26.00 % dhe paraqesin</t>
  </si>
  <si>
    <r>
      <t xml:space="preserve">89.30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planifikimi vjetor.</t>
    </r>
  </si>
  <si>
    <t>Në emër të Transfereve dhe subvencioneve janë shpenzuar 260,599.20 € ose 89.82 % nga planifikimi vjetor,</t>
  </si>
  <si>
    <t>në shumën e gjithmbarshme të shpenzimeve buxhetore pagesat për transfere dhe subvencione marrin pjesë me 58.22 % .</t>
  </si>
  <si>
    <t xml:space="preserve">Gjatë periudhës Janar - Shtator të vitit 2024 Drejtorati i Administratës ka grumbulluar të hyra vetanake në shumë prej 108,794.15 € </t>
  </si>
  <si>
    <t>respektivisht 60.44 % nga planifikimi vjetor .</t>
  </si>
  <si>
    <t xml:space="preserve">                  Në raport me periudhën e njajtë të vitit paraprak dinamika e grumbullimit të të hyrave është më e ulta për 15.88 % . </t>
  </si>
  <si>
    <r>
      <t xml:space="preserve">Nga taksat për çertifikata tjera të ofiqarisë janë inkasuar 77,412.00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të njajtat shënojnë ulje  për  18.59 % në raport me </t>
    </r>
  </si>
  <si>
    <r>
      <t xml:space="preserve">periudhën krahasuese, ose 71.15 </t>
    </r>
    <r>
      <rPr>
        <sz val="10"/>
        <color indexed="8"/>
        <rFont val="Calibri"/>
        <family val="2"/>
      </rPr>
      <t xml:space="preserve">% </t>
    </r>
    <r>
      <rPr>
        <sz val="10"/>
        <color indexed="8"/>
        <rFont val="Arial Narrow"/>
        <family val="2"/>
      </rPr>
      <t>të hyrave gjithmbarshme. Pasojnë taksat për çertifikata të lindjes me</t>
    </r>
  </si>
  <si>
    <t>10.09 %  ose 10,975.00 € , taksat për verifikimin e dokumenteve të ndryshme me 3.40 %  ose 3,695.00 € , taksat për fotokopjim të dokumenteve me</t>
  </si>
  <si>
    <t xml:space="preserve">3.46 % ose 3,760.00 € , taksat për çertifikata të kurorëzimit me 5.35 % ose 5,820.00 € , etj . </t>
  </si>
  <si>
    <t xml:space="preserve">Shpenzimet e gjithmbarshme buxhetore për nentë muaj të vitit 2024 kapin shumën prej 2,291,076.38 € gjegjësisht 95.16 % më shume  se </t>
  </si>
  <si>
    <t xml:space="preserve"> gjatë periudhës së njajtë të vitit paraprak , ndërsa plani për vitin 2024 është realizuar 70.97 % . </t>
  </si>
  <si>
    <t xml:space="preserve">                  Pagat dhe meditjet për periudhën raportuese kapin shumën prej 288,675.68 € . Në raport me periudhën krahasuese pagesat për këtë </t>
  </si>
  <si>
    <t>kategori buxhetore shënojnë dinamikë më të lartë për 15.45 % , ndërsa plani vjetor është realizuar 71.57 % .</t>
  </si>
  <si>
    <t xml:space="preserve">                  Në shumën e gjithmbarshme të shpenzimeve buxhetore pagat dhe meditjet marrin pjesë me 12.60 % .</t>
  </si>
  <si>
    <t xml:space="preserve">                  Në emër të mallrave dhe shërbimeve janë shpenzuar 1,728,664.95 € ose 75.45 % të shpenzimeve të gjithmbarshme .  </t>
  </si>
  <si>
    <t xml:space="preserve">                  Në raport me periudhën krahasuese pagesat për mallra dhe shërbime shënojnë dinamikë më të shpejtë për 138.61 % dhe paraqesin</t>
  </si>
  <si>
    <t xml:space="preserve"> realizim të planit 72.72 % .</t>
  </si>
  <si>
    <t xml:space="preserve">                  Gjatë periudhës Janar - Shtator  të vitit 2024 janë paguar për shpenzime komunale 79,754.82 € dhe paraqesin realizim të planit vjetor</t>
  </si>
  <si>
    <t>65.11 % ndërsa në shumën e gjithmbarshme të shpenzimeve marrin pjesë me 3.48 %  .</t>
  </si>
  <si>
    <t xml:space="preserve">                  Shpenzimet komunale janë për 7.80 % më të larta në raport me periudhën krahasuese .</t>
  </si>
  <si>
    <r>
      <t xml:space="preserve">Në emër te Investimeve kapitale janë shenzuar 193,980.93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ose 8.47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të shpenzimeve gjithmbarshme. </t>
    </r>
  </si>
  <si>
    <r>
      <t xml:space="preserve">Në raport me periudhen krahasuese pagesat për ketë kategori shënojne dinamikë më të larte për 54.61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dhe paraqesin realizimin të planit 59.69 </t>
    </r>
    <r>
      <rPr>
        <sz val="10"/>
        <color indexed="8"/>
        <rFont val="Calibri"/>
        <family val="2"/>
      </rPr>
      <t>%</t>
    </r>
  </si>
  <si>
    <t xml:space="preserve">Shpenzimet e gjithmbarshme buxhetore për nentë muaj të vitit 2024 kapin shumën prej 6,296.11 € gjegjësisht 262.07 % më shumë se gjatë </t>
  </si>
  <si>
    <t>periudhës krahasuese dhe paraqesin 48.29 % nga plani për vitin 2024</t>
  </si>
  <si>
    <r>
      <t xml:space="preserve">Shpenzimet për Pagat dhe meditjet në fund të periudhës raportuese janë 1,693.28 </t>
    </r>
    <r>
      <rPr>
        <sz val="10"/>
        <color indexed="8"/>
        <rFont val="Calibri"/>
        <family val="2"/>
      </rPr>
      <t>€.</t>
    </r>
  </si>
  <si>
    <t xml:space="preserve">                  Për mallra dhe shërbime janë shpenzuar 4,602.83 € ose 73.11 % të shpenzimeve të gjithmbarshme . Dinamika e tyre është për 164.69 % </t>
  </si>
  <si>
    <r>
      <t xml:space="preserve">Tek drejtoria e Integrimet Europiana shpenzime për Paga dhe meditje janë 9,879.45 € dhe kanë tejkaluar planin për 19.66 % dhe paraqesin 88.58 </t>
    </r>
    <r>
      <rPr>
        <sz val="10"/>
        <color indexed="8"/>
        <rFont val="Calibri"/>
        <family val="2"/>
      </rPr>
      <t>%</t>
    </r>
  </si>
  <si>
    <r>
      <t xml:space="preserve">shpenzimeve gjithmbarshme. Për mallra dhe shërbime janë shpenzuar 1,274.00 € ose 11.42 % të shpenzimeve të gjithmbarshme dhe paraqet planin për 45.50 </t>
    </r>
    <r>
      <rPr>
        <sz val="10"/>
        <rFont val="Calibri"/>
        <family val="2"/>
      </rPr>
      <t>%.</t>
    </r>
  </si>
  <si>
    <t xml:space="preserve">Gjatë periudhës Janar - Shtator të vitit 2024 Drejtorati i Inspekcionit ka grumbulluar të hyra vetanake në shumë prej 24,721.20 € </t>
  </si>
  <si>
    <t xml:space="preserve">në të njejtën periudhe të vitit paraparke ka rritje per 64.59 %, ndërsa plani për vitin raportues është  realizuar 58.86 % . </t>
  </si>
  <si>
    <t xml:space="preserve">                  Pjesa më e madhe e të hyrave , respektivisht 71.11 %  nga Licencat për pranim teknik të lokalit të cilat kapin </t>
  </si>
  <si>
    <t>shumën prej 17,580.00 € dhe në raport me periudhën krahasuese shënojnë rritje  për 432.73 % . Pasojnë gjobat nga inspektorati - denimet mandatore</t>
  </si>
  <si>
    <t>me 7,141.70 €, respektivisht 28.89 % , të cilat janë për 38.70 % më të ulta në raport me periudhën krahasuese .</t>
  </si>
  <si>
    <t xml:space="preserve">Shpenzimet e gjithmbarshme buxhetore për nentë muaj të vitit 2024  kapin shumën prej 237,300.83 € gjegjësisht 21.57 % më shumë se </t>
  </si>
  <si>
    <t>gjatë periudhës së njajtë të vitit paraprak ndërsa plani për vitin 2024 është realizuar 71.38 % .</t>
  </si>
  <si>
    <t xml:space="preserve">                  Pagat dhe meditjet për periudhën raportuese kapin shumën prej 166,800.83 €. Në raport me periudhën Janar - Shtator të vitit 2024 pagesat </t>
  </si>
  <si>
    <t xml:space="preserve">për këtë kategori buxhetore janë më të  larta  për 8.08 % ndërsa plani për vitin 2024 është realizuar 64.41 % . </t>
  </si>
  <si>
    <t xml:space="preserve">                  Në shumën e gjithmbarshme të shpenzimeve buxhetore pagat dhe meditjet marrin pjesë me  70.29 % .</t>
  </si>
  <si>
    <t xml:space="preserve">                  Në emër të mallrave dhe shërbimeve janë shpenzuar 70,500.00 € ose 29.71 % nga shpenzimet e gjithmbarshme.Në raport me periudhën</t>
  </si>
  <si>
    <t xml:space="preserve"> krahasuese pagesat për mallra dhe shërbime shënojnë dinamikë më të lartë  për 72.52 % dhe paraqesin 95.92 % nga plani vjetor.</t>
  </si>
  <si>
    <t>Shpenzimet e gjithmbarshme buxhetore për nentë muaj të vitit 2024 kapin shumën prej 21,436.49 €  gjegjësisht 20.98 % më shumë se gjatë</t>
  </si>
  <si>
    <t>periudhës së njajtë të vitit paraprak ndërsa, plani për vitin 2024 është realizuar  69.90 % .</t>
  </si>
  <si>
    <t xml:space="preserve">                  Pagat dhe meditjet për periudhën raportuese kapin shumën prej 20,466.49 € . Në krahasim me periudhën Janar - Shtator të vitit 2023</t>
  </si>
  <si>
    <t>pagesat për këtë kategori buxhetore shënojnë dinamikë më të lartë për 17.49 % ndërsa plani për vitin 2024 është realizuar 68.89 %.</t>
  </si>
  <si>
    <t xml:space="preserve">                 Në shumën e gjithmbarshme të shpenzimeve buxhetore pagat dhe meditjet marrin pjesë me  95.48 % .</t>
  </si>
  <si>
    <t xml:space="preserve">                  Në emër të mallrave dhe shërbimeve janë shpenzuar 970.00 € ose 4.52 % nga shpenzimet e gjithmbarshme</t>
  </si>
  <si>
    <t>dhe paraqesin 97.00 % nga plani vjetor.</t>
  </si>
  <si>
    <t>Gjatë periudhës Janar - Shtator të vitit 2024 shpenzimet e gjithmbarshme buxhetore kapin shumën prej  187,046.49 € respektivisht 6.33 %</t>
  </si>
  <si>
    <t>më pak se gjatë periudhës krahasuese, ndërsa plani për vitin 2024 është realizuar 65.89 % .</t>
  </si>
  <si>
    <t xml:space="preserve">                  Pagat dhe meditjet në periudhën raportuese kapin shumën prej 171,069.73 € . Në krahasim me periudhën Janar - Shtator të vitit 2023</t>
  </si>
  <si>
    <t>pagesat për këtë kategori buxhetore shënojnë dinamikë më të ngadalshme për 11.14 % , ndërsa plani për vitin 2024 është  74.42 % .</t>
  </si>
  <si>
    <t xml:space="preserve">                  Në shumën e gjithmbarshme të shpenzimeve buxhetore pagat dhe meditjet marrin pjesë me 91.46 % .</t>
  </si>
  <si>
    <t xml:space="preserve">                  Në emër të mallrave dhe shërbimeve janë shpenzuar 15,976.76 € ose 8.54 % të shpenzimeve të gjithmbarshme . </t>
  </si>
  <si>
    <t xml:space="preserve">                  Pagesat për këtë kategori buxhetore shënojnë realizim të planit 29.59 % dhe në raport me periudhën e njajtë të vitit paraprak janë më të </t>
  </si>
  <si>
    <t>larta për 122.88 % .</t>
  </si>
  <si>
    <t>Gjatë periudhës Janar-Shtator të vitit 2024 Drejtorati për buxhet dhe financa ka grumbulluar të hyra vetanake në shumë 1,754.170.59 €</t>
  </si>
  <si>
    <t xml:space="preserve">respektivisht 50.18 % nga planifikimi vjetor . </t>
  </si>
  <si>
    <t xml:space="preserve">                   Në raport me periudhën e njajtë të vitit paraprak dinamika e grumbullimit të të hyrave është më të ulta për 27.55 % . </t>
  </si>
  <si>
    <t xml:space="preserve">                   Nga tatimi në pronë janë grumbulluar 87.64 % të të hyrave vetanake pranë këtij drejtorati.</t>
  </si>
  <si>
    <t xml:space="preserve">                  Të hyrat nga tatimi në pronë arrijnë shumën prej 1,537,402.81 € respektivisht 57.29 % nga plani  për vitin 2024</t>
  </si>
  <si>
    <t xml:space="preserve">                                                                                                                                                                                             Në raport me periudhën krahasuese të hyrat nga tatimi në pronë shënojnë dinamikë më të ulta për 30.99 % . </t>
  </si>
  <si>
    <t>Gjatë periudhës Janar - Shtator të vitit 2024 Drejtorati për buxhet e financa ka shpenzuar gjithsej 39.84 % të buxhetit të planifikuar .</t>
  </si>
  <si>
    <t>Shpenzimet e gjithmbarshme buxhetore për nëntë muaj të vitit 2024 kapin shumën prej 584,206.67 € ose 3.16 % më shumë se gjatë</t>
  </si>
  <si>
    <r>
      <t xml:space="preserve">periudhës së njajtë të vitit paraprak, ndersa plani është realizuar 39.84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.</t>
    </r>
  </si>
  <si>
    <t xml:space="preserve">                  Pagat dhe meditjet për periudhën raportuese kapin shumën prej  176,135.36 € . Në raport me periudhën Janar - Shtator të vitit 2023 pagat </t>
  </si>
  <si>
    <t>dhe meditjet shënojnë dinamikë më të ulte  për 3.57 % ndërsa plani vjetor është realizuar 69.51 % .</t>
  </si>
  <si>
    <t xml:space="preserve">                  Në shumën e gjithmbarshme të shpenzimeve buxhetore pagat dhe meditjet marrin pjesë me 30.15 %.</t>
  </si>
  <si>
    <t xml:space="preserve">                  Në emër të mallrave dhe shërbimeve janë shpenzuar 48,071.31 € ose 8.23 % të shpenzimeve të gjithmbarshme.</t>
  </si>
  <si>
    <t xml:space="preserve">                  Në  raport me periudhën krahasuese pagesat për mallra dhe shërbime shënojnë dinamikë më të ultë për 1.23 % dhe paraqesin</t>
  </si>
  <si>
    <t>92.62 % nga planifikimi vjetor .</t>
  </si>
  <si>
    <t xml:space="preserve">Pagesat për investime kapitale arrijnë shumën 360,000.00 € dhe paraqesin 61.62 % të shpenzimeve të gjithmbarshme buxhetore për </t>
  </si>
  <si>
    <t>periudhën raportuese, duke shënuar realizim të planit 31.00 % .</t>
  </si>
  <si>
    <t xml:space="preserve">Gjatë periudhës Janar-Shtator  të vitit 2024 Drejtorati për infrastrukturë rrugore ka grumbulluar të hyra vetanake në shumë prej 50,136.31 € </t>
  </si>
  <si>
    <t>Në raport me periudhën krahasuese dinamika e tyre është më e shpejtë për 10.43 % .</t>
  </si>
  <si>
    <t xml:space="preserve">                   Nga taksat për parkim publik , kampim dhe rekreacion gjatë periudhës raportuese janë grumbulluar 46.73 % të të hyrave vetanake , të</t>
  </si>
  <si>
    <t>cilat në fund të periudhës raportuese arrijnë shumën prej 23,430.00 €.</t>
  </si>
  <si>
    <t xml:space="preserve">                   Dinamika e tyre  është për 98.06 % më e malle së në raport me periudhën krahasuese . </t>
  </si>
  <si>
    <t xml:space="preserve">                   Nga licencat, reklamat dhe publikimet në pronë publike janë grumbulluar 26,706.31 €, gjegjësisht  53.27 %  të të hyrave vetanake . Në</t>
  </si>
  <si>
    <t>raport me periudhën krahasuese dinamika e tyre është më e ngadalshme për 20.45 % .</t>
  </si>
  <si>
    <t xml:space="preserve">Shpenzimet e gjithmbarshme buxhetore për nëntë muaj të vitit 2024 kapin shumën prej 5,449,861.75 € ose 24.67 % më shumë se gjatë </t>
  </si>
  <si>
    <t xml:space="preserve">periudhës së njajtë të vitit paraprak ndërsa,  plani për vitin 2024 është realizuar 60.56 % . </t>
  </si>
  <si>
    <t xml:space="preserve">                  Pagat dhe meditjet për periudhën raportuese kapin shumën prej 93,546.55 €. Në raport me periudhën Janar - Shtator të vitit paraprak </t>
  </si>
  <si>
    <t>pagesat për këtë kategori buxhetore janë më të larta për 53.12 %, ndërsa plani për vitin 2024 është realizuar 72.75 % .</t>
  </si>
  <si>
    <t xml:space="preserve">                  Në shumën e gjithmbarshme të shpenzimeve buxhetore pagat dhe meditjet marrin pjesë me 1.72 % .</t>
  </si>
  <si>
    <t xml:space="preserve">                  Në emër të mallrave dhe shërbimeve janë shpenzuar 618,048.60 € ose 11.34 % të shpenzimeve të gjithmbarshme . Në raport me</t>
  </si>
  <si>
    <t>periudhën krahasuese pagesat për mallra dhe shërbime shënojnë ritje  për 29.00 % .</t>
  </si>
  <si>
    <t xml:space="preserve">                 Gjatë periudhës Janar - Shtator  të vitit 2024 janë paguar për shpenzime komunale 334,344.86 € ose 37.58 % më shumë se gjatë periudhës</t>
  </si>
  <si>
    <t xml:space="preserve">                  Në shumën e gjithmbarshme të shpenzimeve pagesat për këtë kategori buxhetore marrin pjesë me 6.13 % , duke realizuar 83.37 % nga </t>
  </si>
  <si>
    <t xml:space="preserve">                 Pagesat për investime kapitale kapin shumën prej 4,403,921.74 € dhe përbëjnë 80.81 % të shpenzimeve buxhetore . </t>
  </si>
  <si>
    <t xml:space="preserve">                 Në raport me periudhën krahasuese dinamika e tyre është më e shpejtë për 22.73 % , ndërsa paraqesin 56.55 % nga plani .</t>
  </si>
  <si>
    <t xml:space="preserve">Gjatë periudhës Janar - Shtatortë vitit 2024 Emergjenca - Zjarrëfikësat nuk kanë grumbulluar të hyra vetanake. </t>
  </si>
  <si>
    <t>Shpenzimet e gjithmbarshme buxhetore për periudhën raportuese kapin shumën prej 340,932.27 € .</t>
  </si>
  <si>
    <t xml:space="preserve">                   Në raport me periudhën krahasuese dinamika e tyre është më e shpejtë për 41.09 % dhe plani për vitin 2024 është realizuar 63.51 % . </t>
  </si>
  <si>
    <t xml:space="preserve">                   Pagat dhe meditjet për periudhën raportuese kapin shumën prej 260,346.62 €. Në raport me periudhën Janar - Shtator të vitit 2023</t>
  </si>
  <si>
    <t>pagesat për këtë kategori buxhetore shënojnë rritje për 28.53 %, ndërsa plani për vitin 2024 është realizuar 73.16 % .</t>
  </si>
  <si>
    <t xml:space="preserve">                    Në shumën e gjithmbarshme të shpenzimeve buxhetore pagat dhe meditjet marrin pjesë me 76.36 % .</t>
  </si>
  <si>
    <t xml:space="preserve">                    Në emër të mallrave dhe shërbimeve janë shpenzuar 35,673.67 € ose 10.46 % të shpenzimeve të  gjithmbarshme.</t>
  </si>
  <si>
    <t xml:space="preserve">                    Në  raport me periudhën e njajtë të vitit 2023 pagesat për mallra dhe shërbime janë më të larta  për 24.75 % dhe paraqesin realizim të  </t>
  </si>
  <si>
    <t xml:space="preserve"> planit 76.72 % .</t>
  </si>
  <si>
    <t xml:space="preserve">                   Gjatë periudhës Janar - Shtator të vitit 2024 janë paguar për shpenzime komunale 16,856.98 € , ndërsa  plani vjetor është realizuar </t>
  </si>
  <si>
    <t>48.86 %. Në shumën e gjithmbarshme të shpenzimeve buxhetore , pagesat për shpenzime komunale marrin pjesë me 4.94 %.</t>
  </si>
  <si>
    <t xml:space="preserve">                   Në raport me periudhën krahasuese dinamika e tyre është më e shpejtë për 60.55 % .</t>
  </si>
  <si>
    <r>
      <t xml:space="preserve">Shpenzime nga investime kapitale arrijnë shumën prej 28,055.00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paraqesin realizimin e planit 28.06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>.</t>
    </r>
  </si>
  <si>
    <t>Shpenzimet e gjithmbarshme buxhetore për nëntë muaj të vitit 2024 kapin shumën prej 338,135.10 € gjegjësisht 120.10 % më shumë se</t>
  </si>
  <si>
    <t xml:space="preserve">gjatë periudhës së njajtë të vitit paraprak,ndërsa plani për vitin 2024 është realizuar 70.99 % . </t>
  </si>
  <si>
    <t xml:space="preserve">                  Pagat dhe meditjet për periudhën raportuese kapin shumën prej 35,083.27 € . Në krahasim me periudhën Janar- Shtator të vitit 2023</t>
  </si>
  <si>
    <t>pagesat për këtë kategori buxhetore shënojnë dinamikë më të ngadalshme për 29.56 % , ndërsa plani për vitin 2024 është realizuar 66.46 % .</t>
  </si>
  <si>
    <t xml:space="preserve">                  Në shumën e gjithmbarshme të shpenzimeve buxhetore pagat dhe meditjet marrin pjesë me 10.38 % .</t>
  </si>
  <si>
    <t xml:space="preserve">                  Mallrat dhe shërbimet  kapin shumën prej 7,653.90 €. Në raport me periudhën Janar -Shtator të vitit 2023 pagesat për këtë kategori </t>
  </si>
  <si>
    <t>buxhetore shënojnë dinamikë më të shpejtë për 100.26 %, ndërsa plani për vitin 2024 është realizuar 56.70 %.</t>
  </si>
  <si>
    <t xml:space="preserve">                   Në shumën e gjithmbarshme të shpenzimeve buxhetore pagesat për mallra dhe shërbime marrin pjesë me 2.26 % .</t>
  </si>
  <si>
    <r>
      <t xml:space="preserve">Investimet kapitale për periudhen raportuese kapin shumen prej 295,397.93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. Në krahasim me periudhen Janar-Shtator 2023 pagesat për këtë kategori </t>
    </r>
  </si>
  <si>
    <t>buxhetore shënojnë dinamikë më të shpejtë për 195.40 %, ndërsa plani për vitin 2024 është realizuar 72.05 %.</t>
  </si>
  <si>
    <t xml:space="preserve">Gjatë periudhës Janar - Shtator të vitit 2024 Drejtorati për  Bujqësi , pylltari dhe zhvillim rural ka grumbulluar të hyra vetanake në shumë </t>
  </si>
  <si>
    <r>
      <t xml:space="preserve"> prej 16,719.70 € dhe paraqesin realizim të planit 140.53 %. Prej donatoreve të brendshme janë inkasuar 40,408.81 </t>
    </r>
    <r>
      <rPr>
        <sz val="10"/>
        <rFont val="Calibri"/>
        <family val="2"/>
      </rPr>
      <t>€</t>
    </r>
    <r>
      <rPr>
        <sz val="10"/>
        <rFont val="Arial Narrow"/>
        <family val="2"/>
      </rPr>
      <t xml:space="preserve"> dhe hyrat totale nga ky drejtorat arrijnë shumen </t>
    </r>
  </si>
  <si>
    <t xml:space="preserve">                  Nga taksa për ndrrimin e destinimit të tokës janë grumbulluar 93.54 % të të hyrave vetenake dhe gjatë periudhës raportuese paraqesin realizim të</t>
  </si>
  <si>
    <r>
      <t xml:space="preserve">planit 144.60 %, të hyrat nga shfrytëzimi i pronës publike janë grumbulluar 1,080.00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ose 99.85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plani.</t>
    </r>
  </si>
  <si>
    <t xml:space="preserve">Shpenzimet e gjithmbarshme buxhetore për nëntë muaj të vitit 2024 kapin shumën prej 655,024.54  €  ose 33.87 % më pak se gjatë </t>
  </si>
  <si>
    <t xml:space="preserve">periudhës krahasuese ndërsa plani për vitin 2024 është realizuar 64.39  % . </t>
  </si>
  <si>
    <t xml:space="preserve">                 Pagat dhe meditjet për periudhën raportuese kapin shumën prej 110,166.96 €. Në krahasim me periudhën e njajtë të vitit 2023 dinamika </t>
  </si>
  <si>
    <t>e tyre është më e shpejtë  për 4.83 % , ndërsa plani për vitin 2024 është realizuar 68.68 % .</t>
  </si>
  <si>
    <t xml:space="preserve">                 Në shumën e gjithmbarshme të shpenzimeve buxhetore pagat dhe meditjet marrin pjesë me 16.82 % .</t>
  </si>
  <si>
    <t xml:space="preserve">                 Për mallra dhe shërbime janë shpenzuar 7,876.80 € ose 1.20 % të shpenzimeve të gjithmbarshme. Në raport me periudhën krahasuese</t>
  </si>
  <si>
    <t>dinamika e tyre është më e ngadalshme për 8.06 % dhe plani për vitin 2024 është realizuar 11.42 % .</t>
  </si>
  <si>
    <r>
      <t xml:space="preserve">                   Për nentë muaj të vitit 2024 në emër të transfereve dhe subvencioneve janë paguar 240,222.18 € ose 97.88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plani.</t>
    </r>
  </si>
  <si>
    <t xml:space="preserve">Pagesat për investime kapitale arrijnë shumën prej 296,758.60 € ose 54.70 % nga plani vjetor dhe përbëjnë 45.30 %  </t>
  </si>
  <si>
    <t xml:space="preserve"> Shpenzimi i buxhetit për gjashtë muaj është si vijon:</t>
  </si>
  <si>
    <t xml:space="preserve">Gjatë periudhës Janar - Shtator të vitit 2024 janë realizuar të hyra vetanake në shumë prej 30,450.00 € , respektivisht 152.25 % nga  </t>
  </si>
  <si>
    <t xml:space="preserve">                  Në raport me periudhën e njajtë të vitit 2023 dinamika e grumbullimit të të hyrave është më e vogel  për 24.23 % .</t>
  </si>
  <si>
    <r>
      <t xml:space="preserve">Donacionet nga EU-UNIONI EUROPIAN arrijnë shumën 26,218.12 </t>
    </r>
    <r>
      <rPr>
        <sz val="10"/>
        <rFont val="Calibri"/>
        <family val="2"/>
      </rPr>
      <t>€</t>
    </r>
    <r>
      <rPr>
        <sz val="10"/>
        <rFont val="Arial Narrow"/>
        <family val="2"/>
      </rPr>
      <t xml:space="preserve">. Hyrat totale në ketë drejtorat arrijnë shumën 26,668.12 </t>
    </r>
    <r>
      <rPr>
        <sz val="10"/>
        <rFont val="Calibri"/>
        <family val="2"/>
      </rPr>
      <t>€</t>
    </r>
  </si>
  <si>
    <t xml:space="preserve">                 Nga licencat për transport të mallrave  janë grumbulluar 56.65 % të të hyrave vetanake . Pasojnë licencat për shërbim të pijeve alkoolike</t>
  </si>
  <si>
    <t xml:space="preserve"> me 32.35 % dhe me 11.00 % licencat për shërbime profesionale.</t>
  </si>
  <si>
    <t>Shpenzimet e gjithmbarshme buxhetore për nëntë muaj të vitit 2024 kapin shumën prej 277,641.65 € ose 17.49 % më shumë se gjatë</t>
  </si>
  <si>
    <t>periudhës së njajtë të vitit paraprak, ndërsa plani për vitin 2024 është realizuar 60.34 %.</t>
  </si>
  <si>
    <t xml:space="preserve">                  Pagat dhe meditjet për periudhën raportuese kapin shumën prej 68,754.63 € . Në krahasim me periudhën Janar - Shtator të vitit 2023</t>
  </si>
  <si>
    <t>pagesat për këtë kategori buxhetore shënojnë dinamikë më të lartë për 26.25 % , ndërsa plani për vitin 2024 është realizuar 78.19 % . Në shumën</t>
  </si>
  <si>
    <t xml:space="preserve"> e gjithmbarshme të shpenzimeve buxhetore pagat dhe meditjet marrin pjesë me 24.76 %.</t>
  </si>
  <si>
    <t xml:space="preserve">                  Në emër të mallrave dhe shërbimeve janë shpenzuar 55,369.88 € ose 19.94 % të shpenzimeve të gjithmbarshme . </t>
  </si>
  <si>
    <r>
      <t xml:space="preserve">Transfere dhe subvencione për periudhen raportuese kapin shumen prej 70,317.14 </t>
    </r>
    <r>
      <rPr>
        <sz val="10"/>
        <color indexed="8"/>
        <rFont val="Calibri"/>
        <family val="2"/>
      </rPr>
      <t>€ dhe pareqesin realizimin e planit për 70.32 %.</t>
    </r>
  </si>
  <si>
    <t xml:space="preserve">                  Investime kapitale arrijnë shumën prej 83,200.00 € . Në shumën e gjithmbarshme të shpenzimeve buxhetore pagesat për investime</t>
  </si>
  <si>
    <t>kapitale marrin pjesë me 29.97 % dhe janë për 0.32 % më të ulta në raport me periudhën krahasuese.</t>
  </si>
  <si>
    <t xml:space="preserve">                  Gjatë periudhës Janar - Shtator të vitit 2024 Drejtorati për gjeodezi e kadastër ka realizuar të hyra vetanake në shumë prej 275,348.00 €</t>
  </si>
  <si>
    <t xml:space="preserve">                  Në raport me periudhën e njajtë të vitit paraprak dinamika e grumbullimit të të hyrave gjatë periudhës Janar - Shtator të vitit 2024 është më</t>
  </si>
  <si>
    <t xml:space="preserve"> e ultë për 12.90 % .</t>
  </si>
  <si>
    <t xml:space="preserve">                  Nga taksat për regjistrim të trashigimisë janë grumbulluar 39.66 % të të hyrave pranë këtij drejtorati të cilat arrijnë shumën prej 109,200.00 €</t>
  </si>
  <si>
    <t>duke shënuar realizim të planit për vitin raportues 91.00 %.</t>
  </si>
  <si>
    <t xml:space="preserve">                   Nga taksat tjera administrative janë grumbulluar 11,936.00 € , gjegjësisht 4.33 % të të hyrave të gjithmbarshme . Në raport me periudhën </t>
  </si>
  <si>
    <t>krahasuese dinamika e tyre është më e lartë për 195.88 % .</t>
  </si>
  <si>
    <r>
      <t xml:space="preserve">                                                                                                                                                                                           Nga taksa për ceritfikata të pronësisë dhe kopje plani janë grumbulluar 84,572.00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, gjegjësisht 30.71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të të hyrave gjithmbarshme. </t>
    </r>
  </si>
  <si>
    <t xml:space="preserve">                   Nga regjistrimi i pengut janë grumbulluar 17,320.00 € , gjegjësisht 6.29 % të të hyrave të gjithmbarshme .</t>
  </si>
  <si>
    <t>Taksat për matjen e tokës në teren arrijnë shumën prej 52,320 € dhe shënojnë realizim të planit 47.56 % . Në shumën e gjithmbarshme</t>
  </si>
  <si>
    <t xml:space="preserve"> të të hyrave ky lloj i të hyrave merr pjesë me 19.00 % .</t>
  </si>
  <si>
    <t xml:space="preserve">Shpenzimet e gjithmbarshme buxhetore për nëntë muaj të vitit 2024 kapin shumën prej 103,305.47 € ose 4.51 % më shumë se gjatë </t>
  </si>
  <si>
    <t>periudhës krahasuese , ndërsa plani për vitin 2024 është realizuar 69.71 %.</t>
  </si>
  <si>
    <t xml:space="preserve">                  Pagat dhe meditjet për periudhën raportuese kapin shumën prej  100,091.76 € . Në raport me periudhën krahasuese pagesat për këtë </t>
  </si>
  <si>
    <t xml:space="preserve">kategori buxhetore shënojnë dinamikë më të shpejtë për 4.04 % , ndërsa plani për vitin 2024 është realizuar 70.39 % . </t>
  </si>
  <si>
    <t xml:space="preserve">                  Në shumën e gjithmbarshme të shpenzimeve buxhetore pagat dhe meditjet marrin pjesë me 96.89 %.</t>
  </si>
  <si>
    <t xml:space="preserve">                  Në emër të mallrave dhe shërbimeve janë shpenzuar 3,213.71 € ose 3.11 % të shpenzimeve të gjithmbarshme. Në raport me  periudhën</t>
  </si>
  <si>
    <t xml:space="preserve"> krahasuese dinamika e tyre është më e shpejtë për 21.60 % dhe paraqesin 53.56  % nga planifikimi vjetor.</t>
  </si>
  <si>
    <t xml:space="preserve">                  Gjatë periudhës Janar - Shtator të vitit 2024 janë realizuar të hyra vetanake në shumë prej 252,817.59 €.</t>
  </si>
  <si>
    <t>Në raport me periudhën krahasuese dinamika e realizimit të të hyrave është më e ngadalshme për 48.55 % , ndërsa plani për vitin raportues</t>
  </si>
  <si>
    <r>
      <t xml:space="preserve">është realizuar 72.03 %. 86.13 % të të hyrave janë inkasuar nga qiraja nga objektet publike,të cilat kapin shumën prej 217,757.79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në raport me    </t>
    </r>
  </si>
  <si>
    <t>periudhën krahasuese shënojnë dinamikë më të shpejtë për 48.60 %.</t>
  </si>
  <si>
    <r>
      <t xml:space="preserve">Të hyrave  nga qiraja nga shitja e pasurisë janë 10.92 % nga te hyrat e gjithmbarshme dhe arrinë shumën 27,619.00 </t>
    </r>
    <r>
      <rPr>
        <sz val="10"/>
        <color indexed="8"/>
        <rFont val="Calibri"/>
        <family val="2"/>
      </rPr>
      <t>€.</t>
    </r>
  </si>
  <si>
    <r>
      <t xml:space="preserve">                  Nga licenca për reklama dhe publikime në prona publike janë inkasuar 4,325.80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ose 80.74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ma pak se në njejten periudhen nga viti paraprak dhe </t>
    </r>
  </si>
  <si>
    <r>
      <t xml:space="preserve">paraqet realizimit e planit për veq 3.76 </t>
    </r>
    <r>
      <rPr>
        <sz val="10"/>
        <color indexed="8"/>
        <rFont val="Calibri"/>
        <family val="2"/>
      </rPr>
      <t>%</t>
    </r>
  </si>
  <si>
    <t>Shpenzimet e gjithmbarshme buxhetore kapin shumën prej 34,186.12 € ose 63.90 % nga plani për vitin 2024</t>
  </si>
  <si>
    <r>
      <t xml:space="preserve">                   Në raport me periudhën krahasuese dinamika e tyre është shumë më e shpejtë për 9.25 </t>
    </r>
    <r>
      <rPr>
        <sz val="10"/>
        <color indexed="8"/>
        <rFont val="Calibri"/>
        <family val="2"/>
      </rPr>
      <t>%.</t>
    </r>
  </si>
  <si>
    <t xml:space="preserve">                   Pagat dhe meditjet kapin shumën prej 32,709.52 € dhe paraqesin 66.08 % të planit për vitin 2024</t>
  </si>
  <si>
    <t xml:space="preserve">                   Në shumën e gjithmbarshme të shpenzimeve buxhetore pagat dhe meditjet marrin pjesë me 95.68 % .</t>
  </si>
  <si>
    <t xml:space="preserve">                   Në emër të mallrave dhe shërbimeve janë shpenzuar 1,476.60 € ose 4.32 % të shpenzimeve të  gjithmbarshme . Në raport me periudhën</t>
  </si>
  <si>
    <t xml:space="preserve"> krahasuese dinamika e tyre është më e ngadashme për 28.11 % dhe paraqesin 36.92 % nga plani për vitin raportues .</t>
  </si>
  <si>
    <t xml:space="preserve">                 Gjatë periudhës Janar - Shtator të vitit 2024 janë realizuar të hyra vetanake në shumë prej 992,602.37 €, respektivisht 108.77 % më shumë</t>
  </si>
  <si>
    <t>krahasuar me periudhën e njajtë të vitit paraprak , duke shënuar tejkalimin të planit vjetor për 44.47 % .</t>
  </si>
  <si>
    <t xml:space="preserve">                  Të hyrat nga taksa komunale për leje të ndërtimit arrijnë shumën 970,211.17 € dhe në të hyra të gjithmbarshme marrin pjesë me 97.74 % </t>
  </si>
  <si>
    <t xml:space="preserve">Në raport me periudhën krahasuese dinamika e tyre është më e lartë për 114.85 % ndërsa , plani vjetor është realizuar për 166.94 % </t>
  </si>
  <si>
    <t>Të hyrat nga taksa për legalizimin e objekteve përbëjnë 2.26 % të të hyrave të gjithmbarshme dhe në fund të periudhës raportuese arrijnë</t>
  </si>
  <si>
    <t xml:space="preserve">shumën 22,391.20 € </t>
  </si>
  <si>
    <t xml:space="preserve">Shpenzimet e gjithmbarshme buxhetore për nëntë muaj të vitit 2024 kapin shumën prej 244,205.07 € ose 1.89 % më shymë se gjatë </t>
  </si>
  <si>
    <t xml:space="preserve">periudhës krahasuese, ndërsa plani për vitin 2024 është realizuar 78.09 % </t>
  </si>
  <si>
    <t xml:space="preserve">                  Pagat dhe meditjet për periudhën raportuese kapin shumën prej 82,514.86 € . Në krahasim me periudhën Janar - Shtator të vitit 2023</t>
  </si>
  <si>
    <t>pagesat për këtë kategori buxhetore shënojnë dinamikë më të ultë për 1.90 % , ndërsa plani për vitin 2024 është realizuar 70.70 % .</t>
  </si>
  <si>
    <t xml:space="preserve">                  Në shumën e gjithmbarshme të shpenzimeve buxhetore pagat dhe meditjet marrin pjesë me 33.79 % .</t>
  </si>
  <si>
    <t xml:space="preserve">                  Në emër të mallrave dhe shërbimeve janë shpenzuar 11,690.21 € ose 4.79 % të shpenzimeve të gjithmbarshme . Pagesat për këtë kategori</t>
  </si>
  <si>
    <t>buxhetore janë për 7.02 % më të larta në raport me periudhën Janar - Shtator të vitit 2023</t>
  </si>
  <si>
    <t xml:space="preserve">                  Investimet kapitale arrijnë shumën prej 150,000.00 € . Në shumën e gjithmbarshme të shpenzimeve buxhetore investimet kapitale marrin</t>
  </si>
  <si>
    <t>pjesë me 61.42 % dhe paraqesin 78.09 % nga planifikimi vjetor .</t>
  </si>
  <si>
    <t xml:space="preserve">                  Gjatë periudhës Janar - Shtator të vitit 2024 shpenzimet e gjithmbarshme buxhetore kapin shumën prej 28,474.73 € ose 49.39 % më pak</t>
  </si>
  <si>
    <t xml:space="preserve">se gjatë periudhës së njajtë të vitit paraprak , ndërsa plani për vitin raportues është realizuar 74.81 %  </t>
  </si>
  <si>
    <t xml:space="preserve">                  Pagat dhe meditjet për periudhën raportuese kapin shumën prej 24,724.73 € . Në krahasim me periudhën Janar - Shtator të vitit 2023</t>
  </si>
  <si>
    <t xml:space="preserve">dinamika e tyre është më e shpejtë për 0.89 % , ndërsa plani për vitin 2024 është realizuar 74.78 % . </t>
  </si>
  <si>
    <t xml:space="preserve">                  Në shumën e gjithmbarshme të shpenzimeve buxhetore pagat dhe meditjet marrin pjesë me 86.83 % .</t>
  </si>
  <si>
    <t xml:space="preserve">                  Në emër të mallrave dhe shërbimeve janë shpenzuar 3,750.00 € ose 13.17 % të shpenzimeve të gjithmbarshme .</t>
  </si>
  <si>
    <t>Për Transfere dhe subvencione nuk ka plan për këtë vitin e raportuas.</t>
  </si>
  <si>
    <t xml:space="preserve">                   Gjatë periudhës Janar - Shtator të vitit 2024 janë realizuar të hyra vetanake në shumë prej 77,611.50€, ose 3.33 % më shumë se gjatë</t>
  </si>
  <si>
    <t>periudhës së njajtë të vitit 2023 ndërsa plani vjetor është realizuar 72.53 % .</t>
  </si>
  <si>
    <t>Shpenzimet e gjithmbarshme buxhetore për nëntë muaj të vitit 2024 kapin shumën prej 3,252,316.23 € ose 8.13 % më shumë se gjatë</t>
  </si>
  <si>
    <t xml:space="preserve">periudhës së njajtë të vitit paraprak ndërsa plani për vitin 2024 është realizuar 67.10 % . </t>
  </si>
  <si>
    <t xml:space="preserve">                   Pagat dhe meditjet për periudhën raportuese kapin shumën prej 2,485,252.21 €. Në raport me periudhën krahasuese pagesat për këtë</t>
  </si>
  <si>
    <t>kategori buxhetore shënojnë dinamikë më të lartë për 8.78 % , ndërsa plani për vitin 2024 është realizuar 71.76 % .</t>
  </si>
  <si>
    <t xml:space="preserve">                  Në shumën e gjithmbarshme të shpenzimeve buxhetore pagat dhe meditjet marrin pjesë me 76.41 % .</t>
  </si>
  <si>
    <t xml:space="preserve">                  Në emër të mallrave dhe shërbimeve janë shpenzuar 445,659.80 € ose 13.70 % të shpenzimeve totale . Dinamika e tyre është për </t>
  </si>
  <si>
    <t>7.96 % më e ngadalshme në raport me periudhën krahasuese, ndërsa plani vjetor është realizuar 71.79 %.</t>
  </si>
  <si>
    <t xml:space="preserve">                  Gjatë periudhës raportuese janë paguar për shpenzime komunale 106,391.97 € dhe paraqesin realizim të planit 62.22 % . </t>
  </si>
  <si>
    <t xml:space="preserve">                  Në shpenzime të gjithmbarshme pagesat për këtë kategori buxhetore marrin pjesë me 3.27 % .</t>
  </si>
  <si>
    <r>
      <t xml:space="preserve">                 Shpenzime për Transfere dhe subvencione arrijnë shumen prej 47,200.00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paraqesin realizimin e planit  për 78.67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. </t>
    </r>
  </si>
  <si>
    <t>Investimet kapitale arrijnë shumën prej 167,812.25 €. Në shumën e gjithmbarshme të shpenzimeve investimet kapitale marrin pjesë me</t>
  </si>
  <si>
    <t xml:space="preserve">5.16 %. Dinamika e tyre është për 8.00 % më e shpejtë në raport me periudhën krahasuese , ndërsa plani vjetor është realizuar 31.55 % . </t>
  </si>
  <si>
    <t xml:space="preserve">                  Gjatë periudhës Janar - Shtator të vitit 2024 shpenzimet e gjithmbarshme buxhetore kapin shumën prej 206,990.47 € ose 0.87 % më pak</t>
  </si>
  <si>
    <t xml:space="preserve">se gjatë periudhës së njajtë të vitit paraprak, ndërsa plani për vitin raportues është  realizuar 68.88 % . </t>
  </si>
  <si>
    <t xml:space="preserve">                  Pagat dhe meditjet për periudhën raportuese kapin shumën prej 101,842.11 €. Në krahasim me periudhën Janar - Shtator të vitit 2023</t>
  </si>
  <si>
    <t>pagesat për këtë kategori buxhetore shenojne rritje per 6.44 % ndërsa plani për vitin 2024 është realizuar 63.57 % .</t>
  </si>
  <si>
    <t xml:space="preserve">                 Në shumën e gjithmbarshme të shpenzimeve buxhetore pagat dhe meditjet marrin pjesë me 49.20 % .</t>
  </si>
  <si>
    <t xml:space="preserve">                 Dinamika e realizimit të pagesave për mallra dhe shërbime është për 122.09 % më e lartë në raport me periudhën e njajtë të vitit paraprak</t>
  </si>
  <si>
    <t>ndërsa plani për vitin 2024 është realizuar 61.75 % .</t>
  </si>
  <si>
    <t xml:space="preserve">                 Pagesat për shpenzime komunale kapin shumën prej 10,676.78 € dhe përbëjnë 5.16 % të shpenzimeve të gjithmbarshme buxhetore . </t>
  </si>
  <si>
    <t xml:space="preserve">                 Në raport me periudhën krahasuese dinamika e tyre është më e shpejtë për 36.47 % ndërsa plani vjetor është realizuar 99.78 % . </t>
  </si>
  <si>
    <r>
      <t xml:space="preserve">Transfere dhe subvencione arrijnë shumën prej 79,836.61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paraqesin realizimin e planit për 99.78 </t>
    </r>
    <r>
      <rPr>
        <sz val="10"/>
        <color indexed="8"/>
        <rFont val="Calibri"/>
        <family val="2"/>
      </rPr>
      <t xml:space="preserve">%. Më raport nga viti I kaluar për të njejten </t>
    </r>
  </si>
  <si>
    <r>
      <t xml:space="preserve">periudhen raportuese janë më të larta për 36.47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>.</t>
    </r>
  </si>
  <si>
    <r>
      <t xml:space="preserve">Shpenzimet për Investime kapitale për këtë periudhen raportuese nuk ka, ndersa mjetet e planifikuara arrijnë shumën 12,000.00 </t>
    </r>
    <r>
      <rPr>
        <sz val="10"/>
        <color indexed="8"/>
        <rFont val="Calibri"/>
        <family val="2"/>
      </rPr>
      <t>€.</t>
    </r>
  </si>
  <si>
    <t xml:space="preserve"> më shumë se gjatë periidhës së njejtë të vitit paraprak, ndërsa plani për vitin raportues është realizuar 58.02 % .  </t>
  </si>
  <si>
    <r>
      <t xml:space="preserve">Gjatë periudhës Janar - Shtator të vitit  2024 shpenzimet buxhetore gjithmbarshme në këtë program kapin shumën prej 415,845.14 € ose 593.07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</t>
    </r>
  </si>
  <si>
    <t>Shpenzime për paga dhe meditje për këtë periudhen raportuese nuk ka.</t>
  </si>
  <si>
    <t xml:space="preserve">                 Në emër të mallrave dhe shërbimeve janë shpenzuar 14,634.97 € ose 7.07 % të shpenzimeve të gjithmbarshme. </t>
  </si>
  <si>
    <r>
      <t xml:space="preserve"> Në emër të mallrave dhe shërbimeve janë shpenzuar 16,145.30 € ose 3.88 % të shpenzimeve të gjithmbarshme dhe paraqet realizimin e planit 35.88 </t>
    </r>
    <r>
      <rPr>
        <sz val="10"/>
        <color indexed="8"/>
        <rFont val="Calibri"/>
        <family val="2"/>
      </rPr>
      <t>%</t>
    </r>
  </si>
  <si>
    <r>
      <rPr>
        <sz val="10"/>
        <color indexed="8"/>
        <rFont val="Arial Narrow"/>
        <family val="2"/>
      </rPr>
      <t xml:space="preserve">Pagesat për Investime kapitale kapitn shumet prej 399,699.84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përbëjnë 96.12 </t>
    </r>
    <r>
      <rPr>
        <sz val="10"/>
        <color indexed="8"/>
        <rFont val="Calibri"/>
        <family val="2"/>
      </rPr>
      <t xml:space="preserve">% shpenzimeve gjithmbarshme buxhetore. </t>
    </r>
  </si>
  <si>
    <t xml:space="preserve">Në raport me periudhën krahasuese dinamika e tyre është më e shpejtë për 566.16 % ndërsa plani vjetor është realizuar 65.07 %. </t>
  </si>
  <si>
    <r>
      <t xml:space="preserve">                Gjatë periudhës Janar - Shtator të vitit 2024  Drejtorati për kulturë, rini dhe sport ka realizuar të hyra vetanake në shumë  987.00 </t>
    </r>
    <r>
      <rPr>
        <sz val="10"/>
        <rFont val="Calibri"/>
        <family val="2"/>
      </rPr>
      <t>€ prej aktivitete të veta</t>
    </r>
  </si>
  <si>
    <t>dhe paraqet 197.40 % nga plani vjetor. Nga Donacionet e jashtme nuk janë realiziuar hyrat.</t>
  </si>
  <si>
    <t>është më e ngadalshme për 61.94 % .</t>
  </si>
  <si>
    <t>Të hyrat e arketuara janë nga Participim-Biblioteka.</t>
  </si>
  <si>
    <t xml:space="preserve">                  Shpenzimet e gjithmbarshme buxhetore për nëntë muaj të vitit 2024 kapin shumën prej 1,406,240.19 € ose 95.59 % më shumë se gjatë </t>
  </si>
  <si>
    <t>periudhës krahasuese ndërsa plani për vitin 2024 është realizuar 69.00 % .</t>
  </si>
  <si>
    <t xml:space="preserve">                  Pagat dhe meditjet për periudhën raportuese kapin shumën prej 177,193.42 € . Në raport me periudhën Janar - Shtator të  vitit 2023</t>
  </si>
  <si>
    <t>pagesat për këtë kategori buxhetore shënojnë dinamikë më të ngadaljshme për 2.08 % , ndërsa  plani për vitin 2024 është realizuar 66.30 % .</t>
  </si>
  <si>
    <t xml:space="preserve">                  Në emër të mallrave dhe shërbimeve janë shpenzuar 44,877.13 € ose 3.19 % të shpenzimeve të  gjithmbarshme. </t>
  </si>
  <si>
    <t xml:space="preserve">                  Në raport me periudhën krahasuese dinamika e tyre është më e ultë  për 69.39 % dhe shënojnë realizim të planit 52.35 % .</t>
  </si>
  <si>
    <t xml:space="preserve">                  Shpenzimet komunale kapin shumën prej 50,465.52 € dhe përbëjnë 3.59 % të shpenzimeve të gjithmbarshme.</t>
  </si>
  <si>
    <t xml:space="preserve">                  Në raport me periudhën krahasuese dinamika e tyre është më e lart për 30.02 % dhe plani vjetor është realizuar 65.97 % .</t>
  </si>
  <si>
    <t xml:space="preserve">                  Për nëntë muaj të vitit 2024 në emër të transfereve dhe subvencioneve janë paguar 306,697.24 €, që është 97.47 % nga plani vjetor dhe</t>
  </si>
  <si>
    <t xml:space="preserve"> janë për 52.89 % më të larta  në raport me periudhën krahasuese.</t>
  </si>
  <si>
    <r>
      <t xml:space="preserve">Investime kapitale për nëntë muaj janë realizuar 827,006.88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marrin pjese me 58.81 % ne shumen e gjithmbarshme.</t>
    </r>
  </si>
  <si>
    <t xml:space="preserve">Në raport me periudhën krahasuese dinamika e tyre është më e lart për 444.22 % dhe plani vjetor është realizuar 63.92 %. </t>
  </si>
  <si>
    <t xml:space="preserve">                  Teatri për vitin 2024 nuk ka paraparë planifikim të të hyrave .</t>
  </si>
  <si>
    <t xml:space="preserve">                  Shpenzimet e gjithmbarshme buxhetore për nëntë muaj të vitit 2024  kapin shumën prej 163,424.47 € ose 69.36 % nga planifikimi vjetor .</t>
  </si>
  <si>
    <r>
      <t xml:space="preserve">Shpenzimet e gjithmbarshme për periudhën raportuese për paga dhe meditjeve janë 69.32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dhe arrijnë shumën 113,287.80 €, ose 65.44 % nga plani.</t>
    </r>
  </si>
  <si>
    <t xml:space="preserve">Në emër të mallrave dhe shërbimeve janë shpenzuar 10,216.60 € ose 6.25 % të shpenzimeve të  gjithmbarshme. </t>
  </si>
  <si>
    <t xml:space="preserve">Pagesat për shpenzime komunale kapin shumën prej 274.25 € dhe përbëjnë 0.17 % të shpenzimeve të gjithmbarshme. Në raport me periudhën </t>
  </si>
  <si>
    <r>
      <t xml:space="preserve">krahasuese dinamike e tyre është me e ngadalshme për 68.97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ndërsa plani vjetor është realizuar 99.11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>.</t>
    </r>
  </si>
  <si>
    <r>
      <t xml:space="preserve">Për nëntë muaj të vitit 2024 në emër të transfereve dhe subvencioneve janë shpenzuar 39,645.82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ose 99.11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 për vitin 2024</t>
    </r>
  </si>
  <si>
    <t xml:space="preserve">Shpenzimet e gjithmbarshme buxhetore për nëntë muaj të vitit 2024 kapin shumën prej 681,022.55 € ose 41.95 % më pak se gjatë </t>
  </si>
  <si>
    <t xml:space="preserve">periudhës së njajtë të vitit paraprak,ndërsa plani për vitin 2024 është realizuar 71.09 %. </t>
  </si>
  <si>
    <t xml:space="preserve">                  Pagat dhe meditjet për periudhën raportuese kapin shumën prej  80,782.26 €. Në raport me periudhën Janar - Shtator të vitit 2023</t>
  </si>
  <si>
    <t xml:space="preserve">pagesat për këtë kategori buxhetore shënojnë dinamikë më të shpejtë për 12.58 %, ndërsa plani për vitin 2024 është realizuar 65.32 % .  </t>
  </si>
  <si>
    <t xml:space="preserve">                  Në shumën e gjithmbarshme të shpenzimeve buxhetore pagat dhe meditjet marrin pjesë me 11.86 % .</t>
  </si>
  <si>
    <t xml:space="preserve">                  Në emër të mallrave dhe shërbimeve janë shpenzuar 418,141.69 € ose 61.40 % të shpenzimeve të gjithmbarshme. Dinamika e tyre është </t>
  </si>
  <si>
    <t>për 43.40 % më e ultë në raport me periudhën krahasuese dhe paraqet realizim të planit 65.94 % .</t>
  </si>
  <si>
    <t xml:space="preserve">Pagesat për shpenzime komunale kapin shumën prej 114,862.50 € dhe përbëjnë 16.87 % të shpenzimeve të gjithmbarshme. Në raport me </t>
  </si>
  <si>
    <t>periudhën krahasuese dinamika e tyre është më e ngadalshme për 10.66 % ndërsa plani vjetor është realizuar 89.74 % .</t>
  </si>
  <si>
    <t xml:space="preserve">                  Në emër të investimeve kapitale janë shpenzuar 67,236.10 € ose 71.28 % më pak se gjatë periudhës raportuese . </t>
  </si>
  <si>
    <t>Plani i investimeve kapitale është realizuar 93.20 % dhe shpenzimi i realizuar paraqet 9.87 % nga shpenzimet e gjithmbarshme buxhetore</t>
  </si>
  <si>
    <t xml:space="preserve">                   Gjatë periudhës Janar-Shtator të vitit 2024  të hyrat vetanake janë realizuar në shumë prej 95,890.00 € respektivisht 191.78 % nga plani. </t>
  </si>
  <si>
    <t xml:space="preserve">                   Në raport me periudhën krahasuese dinamika e grumbullimit të të hyrave është më e lartë për 61.31 % .   </t>
  </si>
  <si>
    <t xml:space="preserve">Shpenzimet e gjithmbarshme buxhetore për nëntë muaj të vitit 2024 kapin shumën prej 461,087.67 € ose 7.53 %  më shum se gjatë </t>
  </si>
  <si>
    <t xml:space="preserve">periudhës së njajtë të vitit paraprak , ndërsa plani për vitin 2024 është realizuar 65.34 % . </t>
  </si>
  <si>
    <t xml:space="preserve">                  Pagat dhe meditjet për periudhën raportuese kapin shumën prej 364,904.54 €. Në raport me periudhën Janar - Shtator të vitit 2023</t>
  </si>
  <si>
    <t>pagesat për këtë kategori buxhetore shënojnë dinamikë më të larte për 3.36 % , ndërsa plani për vitin 2024 është realizuar 63.42 % .</t>
  </si>
  <si>
    <t xml:space="preserve">                  Në shumën e gjithmbarshme të shpenzimeve buxhetore pagat dhe meditjet marrin pjesë me 79.14 % .</t>
  </si>
  <si>
    <t xml:space="preserve">                  Në emër të mallrave dhe shërbimeve janë shpenzuar 96,183.13 € ose 20.86 % të shpenzimeve të gjithmbarshme . </t>
  </si>
  <si>
    <t xml:space="preserve">                  Dinamika e pagesave për mallra dhe shërbime është për 26.94 % më e shpejtë në raport me periudhën krahasuese ndërsa, plani  </t>
  </si>
  <si>
    <t xml:space="preserve"> vjetor është  realizuar 73.85 % .</t>
  </si>
  <si>
    <t xml:space="preserve">                  Arsimi fillor për vitin 2024 nuk janë planifikuar dhe as realizuar të hyrat.</t>
  </si>
  <si>
    <r>
      <t xml:space="preserve">Gjatë periudhës raportuese janë realizuar donacione nga Save the children. Sh. Sami Frasheri 5,184.57 </t>
    </r>
    <r>
      <rPr>
        <sz val="10"/>
        <rFont val="Calibri"/>
        <family val="2"/>
      </rPr>
      <t>€</t>
    </r>
    <r>
      <rPr>
        <sz val="10"/>
        <rFont val="Arial Narrow"/>
        <family val="2"/>
      </rPr>
      <t xml:space="preserve"> dhe Sh. Fill. 28 Nëntori shumën 3,448.38 </t>
    </r>
    <r>
      <rPr>
        <sz val="10"/>
        <rFont val="Calibri"/>
        <family val="2"/>
      </rPr>
      <t>€</t>
    </r>
  </si>
  <si>
    <t>në shumen totale 8,632.95 €, të cilat janë për 8.76 % më të larta në raport me periudhën krahasuese .</t>
  </si>
  <si>
    <t xml:space="preserve">                  Shpenzimet e gjithmbarshme buxhetore për nënt muaj të vitit 2024 kapin shumën prej 9,381,901.70 € . </t>
  </si>
  <si>
    <t>Në raport me periudhën Janar - Shtator të vitit 2024 dinamika e shpenzimeve është më e lart për 30.26 % .</t>
  </si>
  <si>
    <t xml:space="preserve">                  Pagat dhe meditjet për periudhën raportuese kapin shumën prej 8,947,556.98 €. Në raport me periudhën Janar - Shtator  të vitit 2023</t>
  </si>
  <si>
    <t>pagesat për këtë kategori buxhetore shënojnë dinamikë më të lartë për 29.01 %, ndërsa plani për vitin 2024 është realizuar 114.45 % .</t>
  </si>
  <si>
    <t xml:space="preserve">                  Në shumën e gjithmbarshme të shpenzimeve buxhetore pagat dhe meditjet marrin pjesë me 95.37 % .</t>
  </si>
  <si>
    <t xml:space="preserve">                  Në emër të mallrave dhe shërbimeve janë shpenzuar 51,298.49 € ose 0.55 % të shpenzimeve të gjithmbarshme . Dinamika e  tyre është </t>
  </si>
  <si>
    <t>për 56.04 % më e ngadalshme në raport me periudhën krahasuese , ndërsa plani vjetor është realizuar 57.00 %  .</t>
  </si>
  <si>
    <r>
      <t xml:space="preserve">Për investi kapitale janë planifikuar 761,636.40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për këtë periudhen raportuese janë shpenzuar 383,046.23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për këtë kategori buxhetore </t>
    </r>
  </si>
  <si>
    <t>ose 50.29 % nga plani për vitin 2024</t>
  </si>
  <si>
    <t xml:space="preserve">                  Gjatë periudhës Janar - Shtator të vitit 2024 të hyrat vetanake prej aktivitete të veta kapin shumën prej 49,050.20 € respektivisht 16.41 % më pak</t>
  </si>
  <si>
    <r>
      <t xml:space="preserve">në raport me periudhën krahasuese, ndërsa pjesa e tjeter prej 17,286.00 </t>
    </r>
    <r>
      <rPr>
        <sz val="10"/>
        <rFont val="Calibri"/>
        <family val="2"/>
      </rPr>
      <t>€</t>
    </r>
    <r>
      <rPr>
        <sz val="10"/>
        <rFont val="Arial Narrow"/>
        <family val="2"/>
      </rPr>
      <t xml:space="preserve"> janë nga Donacionet e jashtme.</t>
    </r>
  </si>
  <si>
    <t xml:space="preserve"> Prej aktivitete të veta plani për vitin 2024 është realizuar 98.10 % . </t>
  </si>
  <si>
    <t>Shpenzimet e gjithmbarshme buxhetore për nëntë muaj të vitit 2024 kapin shumën prej 3,009,973.49 € ose 9.26 % më pak se gjatë</t>
  </si>
  <si>
    <t xml:space="preserve">periudhës së njajtë të vitit paraprak, ndërsa plani për vitin 2024 është realizuar 80.23 % . </t>
  </si>
  <si>
    <r>
      <t xml:space="preserve">                  Pagat dhe meditjet për periudhën raportuese kapin shumën prej 2,592,426.11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. Në raport me periudhën Janar -Shtator të vitit 2023</t>
    </r>
  </si>
  <si>
    <t>pagesat për këtë kategori buxhetore shënojnë dinamikë më të ultë  për 21.67 % , ndërsa plani për vitin 2024 realizuar 82.36 % .</t>
  </si>
  <si>
    <t xml:space="preserve">                  Në shumën e gjithmbarshme të shpenzimeve buxhetore pagat dhe meditjet marrin pjesë me 86.13 % .</t>
  </si>
  <si>
    <t xml:space="preserve">                  Në emër të mallrave dhe shërbimeve janë shpenzuar 17,902.89 € ose 0.59 % të shpenzimeve të gjithmbarshme . </t>
  </si>
  <si>
    <t xml:space="preserve">                  Dinamika e pagesave për mallra dhe shërbime është për 133.34 % më e shpejtë në raport me periudhën krahasuese dhe paraqesin </t>
  </si>
  <si>
    <t>26.61 % nga planifikimi vjetor .</t>
  </si>
  <si>
    <r>
      <t xml:space="preserve">Nga Investime kapitale janë planifikuar 536,680.00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për këtë periudhen raportuese janë shpenzuar 399,644.49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ose 74.47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 për vitin 2024</t>
    </r>
  </si>
  <si>
    <t>20</t>
  </si>
  <si>
    <t>55</t>
  </si>
  <si>
    <t>40</t>
  </si>
  <si>
    <t>18</t>
  </si>
  <si>
    <t>11</t>
  </si>
  <si>
    <t>338</t>
  </si>
  <si>
    <t xml:space="preserve"> 2211 puntorë . Ky plan gjatë periudhës Janar - Shtator të vitit raportues është realizuar 99.68 % , ndërsa dinamika e të punësuarve në raport me</t>
  </si>
  <si>
    <t xml:space="preserve"> periudhën krahasuese është më I lartë për 0.59 % . Në fund të periudhës raportuese numri i të punësuarve është 2204</t>
  </si>
  <si>
    <t>në raport me numrin e planifikuar për vitin 2024</t>
  </si>
  <si>
    <r>
      <t>Buxh. e fin. 911,955.63 €  (11) 897.00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>, (13) 226.80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>, (30) 910,831.83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>dhe Arsim (13) 244.62 €</t>
    </r>
  </si>
  <si>
    <r>
      <t xml:space="preserve">Gjatë periudhës raportuese janë realizuar donacione të brendshme në drejtorat e Bujqësis me shumen prej 40,408.81 </t>
    </r>
    <r>
      <rPr>
        <sz val="10"/>
        <rFont val="Calibri"/>
        <family val="2"/>
      </rPr>
      <t>€</t>
    </r>
    <r>
      <rPr>
        <sz val="10"/>
        <rFont val="Arial Narrow"/>
        <family val="2"/>
      </rPr>
      <t xml:space="preserve"> dhe janë për 20.26 </t>
    </r>
    <r>
      <rPr>
        <sz val="10"/>
        <rFont val="Calibri"/>
        <family val="2"/>
      </rPr>
      <t>%</t>
    </r>
  </si>
  <si>
    <r>
      <t xml:space="preserve">Për furnizim mjekesore janë shpenzu 135,295.96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ma shumë për 293.12 </t>
    </r>
    <r>
      <rPr>
        <sz val="10"/>
        <color indexed="8"/>
        <rFont val="Calibri"/>
        <family val="2"/>
      </rPr>
      <t>% ose 150.33 % nga plani. Për Furnizim me veshembajtje ja harxhuar 12,050.00 €</t>
    </r>
  </si>
  <si>
    <r>
      <t xml:space="preserve">                  Pasojnë taksat për regjistrim të automjeteve me 12.08 % shpenzimeve gjithmbarshme ose 211,867.00 € dhe paraqesin rritje për 9.50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viti paraprak.</t>
    </r>
  </si>
  <si>
    <r>
      <t xml:space="preserve">planifikimi vjetor dhe 24.33 </t>
    </r>
    <r>
      <rPr>
        <sz val="10"/>
        <rFont val="Calibri"/>
        <family val="2"/>
      </rPr>
      <t>%</t>
    </r>
    <r>
      <rPr>
        <sz val="10"/>
        <rFont val="Arial Narrow"/>
        <family val="2"/>
      </rPr>
      <t xml:space="preserve"> paraqet ulje nga viti paraprak. </t>
    </r>
  </si>
  <si>
    <r>
      <t xml:space="preserve"> respektivisht 74.42 % nga planifikimi vjetor dhe paraqet ulje për 12.90 </t>
    </r>
    <r>
      <rPr>
        <sz val="10"/>
        <rFont val="Calibri"/>
        <family val="2"/>
      </rPr>
      <t>%</t>
    </r>
    <r>
      <rPr>
        <sz val="10"/>
        <rFont val="Arial Narrow"/>
        <family val="2"/>
      </rPr>
      <t xml:space="preserve"> nga viti paraprak. </t>
    </r>
  </si>
  <si>
    <r>
      <t xml:space="preserve">në drejtori Buxhet dhe financa me 910,088.50 €, në Zvi. Ekonomik nga EU-UNIONI EUROPIAN 26,218.12 €, dhe në Arsim I mesem  nga EU-Unioni 17,286.00 </t>
    </r>
    <r>
      <rPr>
        <sz val="10"/>
        <rFont val="Calibri"/>
        <family val="2"/>
      </rPr>
      <t>€</t>
    </r>
  </si>
  <si>
    <t xml:space="preserve">komunale për leje të ndërtimit , në shumë prej 970,211.17 € paraqesin  26.02 % të shumës së gjithmbarshme të të hyrave vetanake të grumbulluara </t>
  </si>
  <si>
    <t xml:space="preserve">                  Sipas lartësisë së pjesëmarrjes pasojnë të hyrat nga tatimi në pronë me 41.22 %,respektivisht 1,537,402.81 € , taksa e regjistrimit të automjeteve  </t>
  </si>
  <si>
    <r>
      <t xml:space="preserve">211,867.00 € ose 5.68 </t>
    </r>
    <r>
      <rPr>
        <sz val="10"/>
        <rFont val="Calibri"/>
        <family val="2"/>
      </rPr>
      <t>%</t>
    </r>
    <r>
      <rPr>
        <sz val="10"/>
        <rFont val="Arial Narrow"/>
        <family val="2"/>
      </rPr>
      <t xml:space="preserve"> nga hyrave vetenake, të hyrat nga licenca për reklama dhe publikime në prona publike 26,706.31€  ose 0.72 </t>
    </r>
    <r>
      <rPr>
        <sz val="10"/>
        <rFont val="Calibri"/>
        <family val="2"/>
      </rPr>
      <t xml:space="preserve">%, </t>
    </r>
    <r>
      <rPr>
        <sz val="10"/>
        <rFont val="Arial Narrow"/>
        <family val="2"/>
      </rPr>
      <t>etj.</t>
    </r>
  </si>
  <si>
    <t xml:space="preserve">                 Gjatë periudhës raportuese janë realizuar gjoba nga gjykatat në lartësi prej 56,135.00 € , të cilat në të hyra të gjithmbarshme  </t>
  </si>
  <si>
    <r>
      <t xml:space="preserve">marrin pjesë me 1.01 % dhe gjobat në trafik, në shumë prej 768,881.50 </t>
    </r>
    <r>
      <rPr>
        <sz val="10"/>
        <rFont val="Calibri"/>
        <family val="2"/>
      </rPr>
      <t>€</t>
    </r>
    <r>
      <rPr>
        <sz val="10"/>
        <rFont val="Arial Narrow"/>
        <family val="2"/>
      </rPr>
      <t xml:space="preserve"> ose 13.84 % nga shuma e gjithmbarshme e të hyrave.</t>
    </r>
  </si>
  <si>
    <t xml:space="preserve">Të hyrat e gjithmbarshme , në fund të periudhës raportuese , arrijnë shumën 5,556,949.99 € dhe në raport me periudhën krahasuese </t>
  </si>
  <si>
    <r>
      <t xml:space="preserve">janë më të larta për 6.67 % ose 3.58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tejkalim nga plani për vitin 2024</t>
    </r>
  </si>
  <si>
    <t xml:space="preserve">Gjatë periudhës raportuese janë realizuar edhe të hyra nga gjykatat , në shumë prej 56,135.00 €, kështuqë të hyrat e gjithmbarshme </t>
  </si>
  <si>
    <t>arrijnë shumën 80,856.70 €. Në shumën e gjithmbarshme të të hyrave gjobat nga gjykatat marrin pjesë me 69.43 %.</t>
  </si>
  <si>
    <r>
      <t xml:space="preserve">Gjobat në trafik për nentë muaj të vitit 2024 arrijnë shumën 768,881.50 </t>
    </r>
    <r>
      <rPr>
        <sz val="10"/>
        <color theme="1"/>
        <rFont val="Calibri"/>
        <family val="2"/>
      </rPr>
      <t>€</t>
    </r>
    <r>
      <rPr>
        <sz val="10"/>
        <color theme="1"/>
        <rFont val="Arial Narrow"/>
        <family val="2"/>
      </rPr>
      <t xml:space="preserve"> dhe në raport me periudhën krahasuese janë më të larta për </t>
    </r>
  </si>
  <si>
    <t>15.98 %. Në shumën e gjithmbarshme të shpenzimeve gjobat në trafik marrin pjesë me 22.40 %.</t>
  </si>
  <si>
    <t xml:space="preserve">Gjatë periudhës raportuese janë realizuar donacione të jashtme në shumë 962,225.57 €,të cilat në të hyrat të gjithmbarshme marrin pjesë me 17.31 %. </t>
  </si>
  <si>
    <r>
      <t xml:space="preserve">me të larta si në njejten periudhen nga viti kaluar, të cilat në të hyrat të gjithmbarshme marrin pjesë me 0.73 </t>
    </r>
    <r>
      <rPr>
        <sz val="10"/>
        <rFont val="Calibri"/>
        <family val="2"/>
      </rPr>
      <t>%</t>
    </r>
    <r>
      <rPr>
        <sz val="10"/>
        <rFont val="Arial Narrow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</si>
</sst>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;[Red]0"/>
    <numFmt numFmtId="165" formatCode="#,##0.00;[Red]#,##0.00"/>
    <numFmt numFmtId="166" formatCode="#,##0.00\ [$€-1];[Red]\-#,##0.00\ [$€-1]"/>
    <numFmt numFmtId="167" formatCode="0.00;[Red]0.00"/>
    <numFmt numFmtId="168" formatCode="0.000000000000000%"/>
    <numFmt numFmtId="169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1"/>
      <color indexed="10"/>
      <name val="Arial Narrow"/>
      <family val="2"/>
    </font>
    <font>
      <sz val="11"/>
      <color indexed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 Narrow"/>
      <family val="2"/>
    </font>
    <font>
      <u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rgb="FFC00000"/>
      <name val="Arial Narrow"/>
      <family val="2"/>
    </font>
    <font>
      <b/>
      <sz val="9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89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" fontId="5" fillId="2" borderId="1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0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/>
    <xf numFmtId="0" fontId="6" fillId="0" borderId="0" xfId="0" applyFont="1"/>
    <xf numFmtId="0" fontId="10" fillId="2" borderId="0" xfId="0" applyFont="1" applyFill="1" applyAlignment="1">
      <alignment vertical="center"/>
    </xf>
    <xf numFmtId="0" fontId="5" fillId="0" borderId="8" xfId="0" applyFont="1" applyBorder="1" applyAlignment="1">
      <alignment vertical="center"/>
    </xf>
    <xf numFmtId="12" fontId="5" fillId="0" borderId="11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0" fontId="12" fillId="2" borderId="11" xfId="0" applyNumberFormat="1" applyFont="1" applyFill="1" applyBorder="1" applyAlignment="1">
      <alignment horizontal="right" vertical="center" wrapText="1"/>
    </xf>
    <xf numFmtId="10" fontId="12" fillId="2" borderId="11" xfId="0" applyNumberFormat="1" applyFont="1" applyFill="1" applyBorder="1" applyAlignment="1">
      <alignment horizontal="right" vertical="center"/>
    </xf>
    <xf numFmtId="10" fontId="10" fillId="2" borderId="11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right" vertical="center"/>
    </xf>
    <xf numFmtId="10" fontId="5" fillId="4" borderId="11" xfId="0" applyNumberFormat="1" applyFont="1" applyFill="1" applyBorder="1" applyAlignment="1">
      <alignment horizontal="right" vertical="center" wrapText="1"/>
    </xf>
    <xf numFmtId="10" fontId="9" fillId="4" borderId="11" xfId="0" applyNumberFormat="1" applyFont="1" applyFill="1" applyBorder="1" applyAlignment="1">
      <alignment horizontal="right" vertical="center"/>
    </xf>
    <xf numFmtId="49" fontId="5" fillId="4" borderId="7" xfId="0" applyNumberFormat="1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11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165" fontId="10" fillId="5" borderId="7" xfId="0" applyNumberFormat="1" applyFont="1" applyFill="1" applyBorder="1" applyAlignment="1">
      <alignment horizontal="right" vertical="center"/>
    </xf>
    <xf numFmtId="10" fontId="10" fillId="5" borderId="13" xfId="0" applyNumberFormat="1" applyFont="1" applyFill="1" applyBorder="1" applyAlignment="1">
      <alignment horizontal="right" vertical="center"/>
    </xf>
    <xf numFmtId="10" fontId="10" fillId="5" borderId="11" xfId="0" applyNumberFormat="1" applyFont="1" applyFill="1" applyBorder="1" applyAlignment="1">
      <alignment horizontal="right" vertical="center"/>
    </xf>
    <xf numFmtId="0" fontId="12" fillId="5" borderId="3" xfId="0" applyFont="1" applyFill="1" applyBorder="1" applyAlignment="1">
      <alignment horizontal="center" vertical="center"/>
    </xf>
    <xf numFmtId="10" fontId="10" fillId="5" borderId="3" xfId="0" applyNumberFormat="1" applyFont="1" applyFill="1" applyBorder="1" applyAlignment="1">
      <alignment horizontal="right" vertical="center"/>
    </xf>
    <xf numFmtId="10" fontId="10" fillId="5" borderId="2" xfId="0" applyNumberFormat="1" applyFont="1" applyFill="1" applyBorder="1" applyAlignment="1">
      <alignment horizontal="right" vertical="center"/>
    </xf>
    <xf numFmtId="10" fontId="10" fillId="5" borderId="4" xfId="0" applyNumberFormat="1" applyFont="1" applyFill="1" applyBorder="1" applyAlignment="1">
      <alignment horizontal="right" vertical="center"/>
    </xf>
    <xf numFmtId="0" fontId="12" fillId="4" borderId="14" xfId="0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>
      <alignment horizontal="right" vertical="center"/>
    </xf>
    <xf numFmtId="165" fontId="10" fillId="4" borderId="15" xfId="0" applyNumberFormat="1" applyFont="1" applyFill="1" applyBorder="1" applyAlignment="1">
      <alignment horizontal="right" vertical="center"/>
    </xf>
    <xf numFmtId="10" fontId="10" fillId="4" borderId="14" xfId="0" applyNumberFormat="1" applyFont="1" applyFill="1" applyBorder="1" applyAlignment="1">
      <alignment horizontal="right" vertical="center"/>
    </xf>
    <xf numFmtId="10" fontId="10" fillId="4" borderId="15" xfId="0" applyNumberFormat="1" applyFont="1" applyFill="1" applyBorder="1" applyAlignment="1">
      <alignment horizontal="right" vertical="center"/>
    </xf>
    <xf numFmtId="10" fontId="10" fillId="4" borderId="12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vertical="center"/>
    </xf>
    <xf numFmtId="39" fontId="9" fillId="2" borderId="15" xfId="0" applyNumberFormat="1" applyFont="1" applyFill="1" applyBorder="1" applyAlignment="1">
      <alignment vertical="center"/>
    </xf>
    <xf numFmtId="10" fontId="5" fillId="3" borderId="14" xfId="0" applyNumberFormat="1" applyFont="1" applyFill="1" applyBorder="1" applyAlignment="1">
      <alignment horizontal="right" vertical="center" wrapText="1"/>
    </xf>
    <xf numFmtId="10" fontId="5" fillId="3" borderId="15" xfId="0" applyNumberFormat="1" applyFont="1" applyFill="1" applyBorder="1" applyAlignment="1">
      <alignment horizontal="right" vertical="center"/>
    </xf>
    <xf numFmtId="10" fontId="5" fillId="3" borderId="12" xfId="0" applyNumberFormat="1" applyFont="1" applyFill="1" applyBorder="1" applyAlignment="1">
      <alignment horizontal="right" vertical="center"/>
    </xf>
    <xf numFmtId="10" fontId="5" fillId="2" borderId="14" xfId="0" applyNumberFormat="1" applyFont="1" applyFill="1" applyBorder="1" applyAlignment="1">
      <alignment horizontal="right" vertical="center" wrapText="1"/>
    </xf>
    <xf numFmtId="165" fontId="5" fillId="2" borderId="0" xfId="0" applyNumberFormat="1" applyFont="1" applyFill="1" applyBorder="1" applyAlignment="1">
      <alignment vertical="center" wrapText="1"/>
    </xf>
    <xf numFmtId="39" fontId="12" fillId="2" borderId="1" xfId="0" applyNumberFormat="1" applyFont="1" applyFill="1" applyBorder="1" applyAlignment="1">
      <alignment vertical="center" wrapText="1"/>
    </xf>
    <xf numFmtId="39" fontId="12" fillId="2" borderId="8" xfId="0" applyNumberFormat="1" applyFont="1" applyFill="1" applyBorder="1" applyAlignment="1">
      <alignment vertical="center" wrapText="1"/>
    </xf>
    <xf numFmtId="10" fontId="12" fillId="2" borderId="9" xfId="0" applyNumberFormat="1" applyFont="1" applyFill="1" applyBorder="1" applyAlignment="1">
      <alignment horizontal="right" vertical="center" wrapText="1"/>
    </xf>
    <xf numFmtId="10" fontId="12" fillId="2" borderId="8" xfId="0" applyNumberFormat="1" applyFont="1" applyFill="1" applyBorder="1" applyAlignment="1">
      <alignment horizontal="right" vertical="center"/>
    </xf>
    <xf numFmtId="10" fontId="12" fillId="2" borderId="10" xfId="0" applyNumberFormat="1" applyFont="1" applyFill="1" applyBorder="1" applyAlignment="1">
      <alignment horizontal="right" vertical="center" wrapText="1"/>
    </xf>
    <xf numFmtId="0" fontId="10" fillId="5" borderId="8" xfId="0" applyFont="1" applyFill="1" applyBorder="1" applyAlignment="1">
      <alignment horizontal="center" vertical="center"/>
    </xf>
    <xf numFmtId="10" fontId="10" fillId="5" borderId="8" xfId="0" applyNumberFormat="1" applyFont="1" applyFill="1" applyBorder="1" applyAlignment="1">
      <alignment horizontal="right" vertical="center"/>
    </xf>
    <xf numFmtId="165" fontId="9" fillId="2" borderId="11" xfId="0" applyNumberFormat="1" applyFont="1" applyFill="1" applyBorder="1" applyAlignment="1">
      <alignment horizontal="right" vertical="center"/>
    </xf>
    <xf numFmtId="165" fontId="9" fillId="2" borderId="7" xfId="0" applyNumberFormat="1" applyFont="1" applyFill="1" applyBorder="1" applyAlignment="1">
      <alignment horizontal="right" vertical="center"/>
    </xf>
    <xf numFmtId="10" fontId="9" fillId="2" borderId="11" xfId="0" applyNumberFormat="1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center" vertical="center"/>
    </xf>
    <xf numFmtId="10" fontId="9" fillId="3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165" fontId="10" fillId="2" borderId="7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165" fontId="5" fillId="2" borderId="11" xfId="0" applyNumberFormat="1" applyFont="1" applyFill="1" applyBorder="1" applyAlignment="1">
      <alignment vertical="center" wrapText="1"/>
    </xf>
    <xf numFmtId="165" fontId="5" fillId="2" borderId="7" xfId="0" applyNumberFormat="1" applyFont="1" applyFill="1" applyBorder="1" applyAlignment="1">
      <alignment vertical="center" wrapText="1"/>
    </xf>
    <xf numFmtId="10" fontId="5" fillId="3" borderId="11" xfId="0" applyNumberFormat="1" applyFont="1" applyFill="1" applyBorder="1" applyAlignment="1">
      <alignment vertical="center" wrapText="1"/>
    </xf>
    <xf numFmtId="10" fontId="5" fillId="3" borderId="11" xfId="0" applyNumberFormat="1" applyFont="1" applyFill="1" applyBorder="1" applyAlignment="1">
      <alignment vertical="center"/>
    </xf>
    <xf numFmtId="10" fontId="5" fillId="3" borderId="11" xfId="0" applyNumberFormat="1" applyFont="1" applyFill="1" applyBorder="1" applyAlignment="1">
      <alignment horizontal="right" vertical="center" wrapText="1"/>
    </xf>
    <xf numFmtId="10" fontId="5" fillId="3" borderId="11" xfId="0" applyNumberFormat="1" applyFont="1" applyFill="1" applyBorder="1" applyAlignment="1">
      <alignment horizontal="right" vertical="center"/>
    </xf>
    <xf numFmtId="165" fontId="12" fillId="2" borderId="11" xfId="0" applyNumberFormat="1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165" fontId="10" fillId="2" borderId="7" xfId="0" applyNumberFormat="1" applyFont="1" applyFill="1" applyBorder="1" applyAlignment="1">
      <alignment horizontal="right" vertical="center" wrapText="1"/>
    </xf>
    <xf numFmtId="10" fontId="9" fillId="0" borderId="11" xfId="0" applyNumberFormat="1" applyFont="1" applyBorder="1"/>
    <xf numFmtId="0" fontId="12" fillId="5" borderId="11" xfId="0" applyFont="1" applyFill="1" applyBorder="1" applyAlignment="1">
      <alignment horizontal="center" vertical="center"/>
    </xf>
    <xf numFmtId="165" fontId="10" fillId="5" borderId="11" xfId="0" applyNumberFormat="1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center" vertical="center"/>
    </xf>
    <xf numFmtId="165" fontId="10" fillId="4" borderId="11" xfId="0" applyNumberFormat="1" applyFont="1" applyFill="1" applyBorder="1" applyAlignment="1">
      <alignment horizontal="right" vertical="center"/>
    </xf>
    <xf numFmtId="10" fontId="10" fillId="4" borderId="11" xfId="0" applyNumberFormat="1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165" fontId="10" fillId="5" borderId="11" xfId="0" applyNumberFormat="1" applyFont="1" applyFill="1" applyBorder="1" applyAlignment="1">
      <alignment vertical="center"/>
    </xf>
    <xf numFmtId="4" fontId="12" fillId="2" borderId="11" xfId="0" applyNumberFormat="1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4" fontId="12" fillId="2" borderId="11" xfId="0" applyNumberFormat="1" applyFont="1" applyFill="1" applyBorder="1" applyAlignment="1">
      <alignment horizontal="right" vertical="center" wrapText="1"/>
    </xf>
    <xf numFmtId="165" fontId="12" fillId="5" borderId="11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65" fontId="10" fillId="2" borderId="11" xfId="0" applyNumberFormat="1" applyFont="1" applyFill="1" applyBorder="1" applyAlignment="1">
      <alignment vertical="center"/>
    </xf>
    <xf numFmtId="10" fontId="10" fillId="0" borderId="11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vertical="center"/>
    </xf>
    <xf numFmtId="10" fontId="10" fillId="0" borderId="2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vertical="center"/>
    </xf>
    <xf numFmtId="165" fontId="10" fillId="4" borderId="11" xfId="0" applyNumberFormat="1" applyFont="1" applyFill="1" applyBorder="1" applyAlignment="1">
      <alignment vertical="center"/>
    </xf>
    <xf numFmtId="165" fontId="10" fillId="2" borderId="7" xfId="0" applyNumberFormat="1" applyFont="1" applyFill="1" applyBorder="1" applyAlignment="1">
      <alignment vertical="center"/>
    </xf>
    <xf numFmtId="10" fontId="9" fillId="0" borderId="11" xfId="0" applyNumberFormat="1" applyFont="1" applyBorder="1" applyAlignment="1">
      <alignment horizontal="right" vertical="center"/>
    </xf>
    <xf numFmtId="165" fontId="10" fillId="2" borderId="2" xfId="0" applyNumberFormat="1" applyFont="1" applyFill="1" applyBorder="1" applyAlignment="1">
      <alignment vertical="center"/>
    </xf>
    <xf numFmtId="10" fontId="12" fillId="3" borderId="11" xfId="0" applyNumberFormat="1" applyFont="1" applyFill="1" applyBorder="1" applyAlignment="1">
      <alignment horizontal="right" vertical="center" wrapText="1"/>
    </xf>
    <xf numFmtId="165" fontId="9" fillId="2" borderId="11" xfId="0" applyNumberFormat="1" applyFont="1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165" fontId="10" fillId="4" borderId="2" xfId="0" applyNumberFormat="1" applyFont="1" applyFill="1" applyBorder="1" applyAlignment="1">
      <alignment vertical="center"/>
    </xf>
    <xf numFmtId="10" fontId="10" fillId="4" borderId="2" xfId="0" applyNumberFormat="1" applyFont="1" applyFill="1" applyBorder="1" applyAlignment="1">
      <alignment horizontal="right" vertical="center"/>
    </xf>
    <xf numFmtId="165" fontId="9" fillId="2" borderId="4" xfId="0" applyNumberFormat="1" applyFont="1" applyFill="1" applyBorder="1" applyAlignment="1">
      <alignment vertical="center"/>
    </xf>
    <xf numFmtId="10" fontId="12" fillId="3" borderId="11" xfId="0" applyNumberFormat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/>
    </xf>
    <xf numFmtId="165" fontId="10" fillId="5" borderId="2" xfId="0" applyNumberFormat="1" applyFont="1" applyFill="1" applyBorder="1" applyAlignment="1">
      <alignment vertical="center"/>
    </xf>
    <xf numFmtId="0" fontId="10" fillId="5" borderId="11" xfId="0" applyFont="1" applyFill="1" applyBorder="1" applyAlignment="1">
      <alignment vertical="center"/>
    </xf>
    <xf numFmtId="10" fontId="10" fillId="5" borderId="11" xfId="0" applyNumberFormat="1" applyFont="1" applyFill="1" applyBorder="1" applyAlignment="1">
      <alignment vertical="center"/>
    </xf>
    <xf numFmtId="165" fontId="9" fillId="0" borderId="0" xfId="0" applyNumberFormat="1" applyFont="1"/>
    <xf numFmtId="0" fontId="12" fillId="3" borderId="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165" fontId="10" fillId="2" borderId="11" xfId="0" applyNumberFormat="1" applyFont="1" applyFill="1" applyBorder="1" applyAlignment="1">
      <alignment horizontal="right" vertical="center" wrapText="1"/>
    </xf>
    <xf numFmtId="10" fontId="5" fillId="0" borderId="11" xfId="0" applyNumberFormat="1" applyFont="1" applyBorder="1" applyAlignment="1">
      <alignment horizontal="right" vertical="center"/>
    </xf>
    <xf numFmtId="0" fontId="12" fillId="5" borderId="6" xfId="0" applyFont="1" applyFill="1" applyBorder="1" applyAlignment="1">
      <alignment vertical="center" wrapText="1"/>
    </xf>
    <xf numFmtId="165" fontId="12" fillId="5" borderId="11" xfId="0" applyNumberFormat="1" applyFont="1" applyFill="1" applyBorder="1" applyAlignment="1">
      <alignment horizontal="right" vertical="center" wrapText="1"/>
    </xf>
    <xf numFmtId="10" fontId="12" fillId="5" borderId="11" xfId="0" applyNumberFormat="1" applyFont="1" applyFill="1" applyBorder="1" applyAlignment="1">
      <alignment horizontal="right" vertical="center"/>
    </xf>
    <xf numFmtId="0" fontId="9" fillId="2" borderId="0" xfId="0" applyFont="1" applyFill="1"/>
    <xf numFmtId="0" fontId="5" fillId="0" borderId="0" xfId="0" applyFont="1"/>
    <xf numFmtId="0" fontId="12" fillId="5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10" fontId="5" fillId="2" borderId="11" xfId="0" applyNumberFormat="1" applyFont="1" applyFill="1" applyBorder="1" applyAlignment="1">
      <alignment horizontal="right" vertical="center" wrapText="1"/>
    </xf>
    <xf numFmtId="10" fontId="5" fillId="2" borderId="11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vertical="center" wrapText="1"/>
    </xf>
    <xf numFmtId="0" fontId="12" fillId="5" borderId="11" xfId="0" applyFont="1" applyFill="1" applyBorder="1" applyAlignment="1">
      <alignment horizontal="center" vertical="center" wrapText="1"/>
    </xf>
    <xf numFmtId="4" fontId="12" fillId="5" borderId="11" xfId="0" applyNumberFormat="1" applyFont="1" applyFill="1" applyBorder="1" applyAlignment="1">
      <alignment horizontal="right" vertical="center" wrapText="1"/>
    </xf>
    <xf numFmtId="10" fontId="12" fillId="5" borderId="1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5" fillId="4" borderId="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right" vertical="center" wrapText="1"/>
    </xf>
    <xf numFmtId="4" fontId="12" fillId="5" borderId="11" xfId="0" applyNumberFormat="1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/>
    </xf>
    <xf numFmtId="4" fontId="12" fillId="3" borderId="0" xfId="0" applyNumberFormat="1" applyFont="1" applyFill="1" applyBorder="1" applyAlignment="1">
      <alignment vertical="center" wrapText="1"/>
    </xf>
    <xf numFmtId="10" fontId="12" fillId="3" borderId="0" xfId="0" applyNumberFormat="1" applyFont="1" applyFill="1" applyBorder="1" applyAlignment="1">
      <alignment vertical="center" wrapText="1"/>
    </xf>
    <xf numFmtId="10" fontId="12" fillId="3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Border="1" applyAlignment="1">
      <alignment horizontal="left" vertical="center"/>
    </xf>
    <xf numFmtId="4" fontId="5" fillId="0" borderId="0" xfId="0" applyNumberFormat="1" applyFont="1" applyAlignment="1">
      <alignment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10" fontId="5" fillId="2" borderId="11" xfId="0" applyNumberFormat="1" applyFont="1" applyFill="1" applyBorder="1" applyAlignment="1">
      <alignment vertical="center" wrapText="1"/>
    </xf>
    <xf numFmtId="4" fontId="12" fillId="5" borderId="7" xfId="0" applyNumberFormat="1" applyFont="1" applyFill="1" applyBorder="1" applyAlignment="1">
      <alignment vertical="center" wrapText="1"/>
    </xf>
    <xf numFmtId="10" fontId="12" fillId="5" borderId="11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vertical="center" wrapText="1"/>
    </xf>
    <xf numFmtId="10" fontId="12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10" fontId="12" fillId="5" borderId="11" xfId="0" applyNumberFormat="1" applyFont="1" applyFill="1" applyBorder="1" applyAlignment="1">
      <alignment vertical="center"/>
    </xf>
    <xf numFmtId="12" fontId="5" fillId="0" borderId="8" xfId="0" applyNumberFormat="1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/>
    </xf>
    <xf numFmtId="43" fontId="5" fillId="2" borderId="11" xfId="1" applyFont="1" applyFill="1" applyBorder="1" applyAlignment="1">
      <alignment vertical="center"/>
    </xf>
    <xf numFmtId="167" fontId="10" fillId="5" borderId="11" xfId="0" applyNumberFormat="1" applyFont="1" applyFill="1" applyBorder="1" applyAlignment="1">
      <alignment horizontal="center" vertical="center"/>
    </xf>
    <xf numFmtId="10" fontId="10" fillId="5" borderId="11" xfId="0" applyNumberFormat="1" applyFont="1" applyFill="1" applyBorder="1" applyAlignment="1">
      <alignment horizontal="right"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right" vertical="center"/>
    </xf>
    <xf numFmtId="4" fontId="9" fillId="2" borderId="7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165" fontId="12" fillId="2" borderId="0" xfId="0" applyNumberFormat="1" applyFont="1" applyFill="1" applyBorder="1" applyAlignment="1">
      <alignment vertical="center" wrapText="1"/>
    </xf>
    <xf numFmtId="10" fontId="12" fillId="2" borderId="0" xfId="0" applyNumberFormat="1" applyFont="1" applyFill="1" applyBorder="1" applyAlignment="1">
      <alignment horizontal="right" vertical="center" wrapText="1"/>
    </xf>
    <xf numFmtId="10" fontId="12" fillId="2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2" fillId="2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4" fontId="5" fillId="2" borderId="2" xfId="0" applyNumberFormat="1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9" fillId="0" borderId="7" xfId="0" applyFont="1" applyBorder="1"/>
    <xf numFmtId="4" fontId="12" fillId="5" borderId="11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  <xf numFmtId="4" fontId="12" fillId="5" borderId="7" xfId="0" applyNumberFormat="1" applyFont="1" applyFill="1" applyBorder="1" applyAlignment="1">
      <alignment horizontal="right" vertical="center" wrapText="1"/>
    </xf>
    <xf numFmtId="4" fontId="5" fillId="3" borderId="7" xfId="0" applyNumberFormat="1" applyFont="1" applyFill="1" applyBorder="1"/>
    <xf numFmtId="4" fontId="12" fillId="5" borderId="7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/>
    </xf>
    <xf numFmtId="4" fontId="12" fillId="5" borderId="11" xfId="0" applyNumberFormat="1" applyFont="1" applyFill="1" applyBorder="1" applyAlignment="1">
      <alignment vertical="center"/>
    </xf>
    <xf numFmtId="10" fontId="5" fillId="3" borderId="2" xfId="0" applyNumberFormat="1" applyFont="1" applyFill="1" applyBorder="1" applyAlignment="1">
      <alignment horizontal="right" vertical="center" wrapText="1"/>
    </xf>
    <xf numFmtId="10" fontId="5" fillId="3" borderId="2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65" fontId="9" fillId="2" borderId="11" xfId="0" applyNumberFormat="1" applyFont="1" applyFill="1" applyBorder="1"/>
    <xf numFmtId="0" fontId="14" fillId="0" borderId="0" xfId="0" applyFont="1"/>
    <xf numFmtId="0" fontId="5" fillId="2" borderId="6" xfId="0" applyFont="1" applyFill="1" applyBorder="1" applyAlignment="1">
      <alignment horizontal="right" vertical="center"/>
    </xf>
    <xf numFmtId="4" fontId="9" fillId="0" borderId="0" xfId="0" applyNumberFormat="1" applyFont="1" applyAlignment="1"/>
    <xf numFmtId="0" fontId="12" fillId="0" borderId="0" xfId="0" applyFont="1" applyBorder="1" applyAlignment="1">
      <alignment horizontal="left" vertical="center"/>
    </xf>
    <xf numFmtId="0" fontId="12" fillId="5" borderId="6" xfId="0" applyFont="1" applyFill="1" applyBorder="1" applyAlignment="1">
      <alignment horizontal="center" vertical="center" wrapText="1"/>
    </xf>
    <xf numFmtId="165" fontId="12" fillId="5" borderId="7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4" fontId="9" fillId="0" borderId="0" xfId="0" applyNumberFormat="1" applyFont="1"/>
    <xf numFmtId="0" fontId="12" fillId="3" borderId="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vertical="center" wrapText="1"/>
    </xf>
    <xf numFmtId="10" fontId="5" fillId="3" borderId="0" xfId="0" applyNumberFormat="1" applyFont="1" applyFill="1" applyBorder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righ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10" fontId="5" fillId="3" borderId="7" xfId="0" applyNumberFormat="1" applyFont="1" applyFill="1" applyBorder="1" applyAlignment="1">
      <alignment horizontal="right" vertical="center"/>
    </xf>
    <xf numFmtId="10" fontId="12" fillId="5" borderId="7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2" fontId="5" fillId="2" borderId="1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10" fontId="5" fillId="3" borderId="3" xfId="0" applyNumberFormat="1" applyFont="1" applyFill="1" applyBorder="1" applyAlignment="1">
      <alignment horizontal="right" vertical="center" wrapText="1"/>
    </xf>
    <xf numFmtId="10" fontId="5" fillId="3" borderId="4" xfId="0" applyNumberFormat="1" applyFont="1" applyFill="1" applyBorder="1" applyAlignment="1">
      <alignment horizontal="right" vertical="center"/>
    </xf>
    <xf numFmtId="10" fontId="5" fillId="3" borderId="8" xfId="0" applyNumberFormat="1" applyFont="1" applyFill="1" applyBorder="1" applyAlignment="1">
      <alignment horizontal="right" vertical="center" wrapText="1"/>
    </xf>
    <xf numFmtId="10" fontId="5" fillId="2" borderId="8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 wrapText="1"/>
    </xf>
    <xf numFmtId="10" fontId="5" fillId="2" borderId="5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 wrapText="1"/>
    </xf>
    <xf numFmtId="10" fontId="5" fillId="3" borderId="5" xfId="0" applyNumberFormat="1" applyFont="1" applyFill="1" applyBorder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 wrapText="1"/>
    </xf>
    <xf numFmtId="10" fontId="12" fillId="3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10" fontId="5" fillId="3" borderId="15" xfId="0" applyNumberFormat="1" applyFont="1" applyFill="1" applyBorder="1" applyAlignment="1">
      <alignment horizontal="right" vertical="center" wrapText="1"/>
    </xf>
    <xf numFmtId="10" fontId="5" fillId="2" borderId="15" xfId="0" applyNumberFormat="1" applyFont="1" applyFill="1" applyBorder="1" applyAlignment="1">
      <alignment horizontal="right" vertical="center" wrapText="1"/>
    </xf>
    <xf numFmtId="10" fontId="12" fillId="2" borderId="8" xfId="0" applyNumberFormat="1" applyFont="1" applyFill="1" applyBorder="1" applyAlignment="1">
      <alignment horizontal="right" vertical="center" wrapText="1"/>
    </xf>
    <xf numFmtId="10" fontId="12" fillId="3" borderId="15" xfId="0" applyNumberFormat="1" applyFont="1" applyFill="1" applyBorder="1" applyAlignment="1">
      <alignment horizontal="right" vertical="center"/>
    </xf>
    <xf numFmtId="10" fontId="12" fillId="3" borderId="10" xfId="0" applyNumberFormat="1" applyFont="1" applyFill="1" applyBorder="1" applyAlignment="1">
      <alignment horizontal="right" vertical="center"/>
    </xf>
    <xf numFmtId="4" fontId="5" fillId="3" borderId="7" xfId="0" applyNumberFormat="1" applyFont="1" applyFill="1" applyBorder="1" applyAlignment="1">
      <alignment horizontal="right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10" fontId="12" fillId="7" borderId="11" xfId="0" applyNumberFormat="1" applyFont="1" applyFill="1" applyBorder="1" applyAlignment="1">
      <alignment horizontal="right" vertical="center" wrapText="1"/>
    </xf>
    <xf numFmtId="10" fontId="12" fillId="7" borderId="11" xfId="0" applyNumberFormat="1" applyFont="1" applyFill="1" applyBorder="1" applyAlignment="1">
      <alignment vertical="center"/>
    </xf>
    <xf numFmtId="10" fontId="12" fillId="7" borderId="11" xfId="0" applyNumberFormat="1" applyFont="1" applyFill="1" applyBorder="1" applyAlignment="1">
      <alignment horizontal="right" vertical="center"/>
    </xf>
    <xf numFmtId="43" fontId="12" fillId="3" borderId="0" xfId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4" fontId="5" fillId="3" borderId="11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4" fontId="5" fillId="3" borderId="7" xfId="0" applyNumberFormat="1" applyFont="1" applyFill="1" applyBorder="1" applyAlignment="1">
      <alignment vertical="center" wrapText="1"/>
    </xf>
    <xf numFmtId="4" fontId="9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5" borderId="10" xfId="0" applyFont="1" applyFill="1" applyBorder="1" applyAlignment="1">
      <alignment horizontal="center" vertical="center"/>
    </xf>
    <xf numFmtId="10" fontId="5" fillId="2" borderId="11" xfId="0" applyNumberFormat="1" applyFont="1" applyFill="1" applyBorder="1" applyAlignment="1">
      <alignment vertical="center"/>
    </xf>
    <xf numFmtId="165" fontId="12" fillId="3" borderId="7" xfId="0" applyNumberFormat="1" applyFont="1" applyFill="1" applyBorder="1" applyAlignment="1">
      <alignment vertical="center" wrapText="1"/>
    </xf>
    <xf numFmtId="165" fontId="12" fillId="2" borderId="0" xfId="1" applyNumberFormat="1" applyFont="1" applyFill="1" applyBorder="1" applyAlignment="1">
      <alignment horizontal="right" vertical="center" wrapText="1"/>
    </xf>
    <xf numFmtId="10" fontId="12" fillId="2" borderId="0" xfId="0" applyNumberFormat="1" applyFont="1" applyFill="1" applyBorder="1" applyAlignment="1">
      <alignment vertical="center"/>
    </xf>
    <xf numFmtId="4" fontId="5" fillId="2" borderId="6" xfId="0" applyNumberFormat="1" applyFont="1" applyFill="1" applyBorder="1" applyAlignment="1">
      <alignment vertical="center" wrapText="1"/>
    </xf>
    <xf numFmtId="10" fontId="5" fillId="3" borderId="6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vertical="center" wrapText="1"/>
    </xf>
    <xf numFmtId="0" fontId="10" fillId="0" borderId="0" xfId="0" applyFont="1" applyAlignment="1"/>
    <xf numFmtId="165" fontId="9" fillId="2" borderId="7" xfId="0" applyNumberFormat="1" applyFont="1" applyFill="1" applyBorder="1" applyAlignment="1">
      <alignment horizontal="right" vertical="center" wrapText="1"/>
    </xf>
    <xf numFmtId="43" fontId="12" fillId="2" borderId="0" xfId="1" applyFont="1" applyFill="1" applyBorder="1" applyAlignment="1">
      <alignment horizontal="right" vertical="center" wrapText="1"/>
    </xf>
    <xf numFmtId="39" fontId="12" fillId="2" borderId="0" xfId="1" applyNumberFormat="1" applyFont="1" applyFill="1" applyBorder="1" applyAlignment="1">
      <alignment horizontal="right" vertical="center" wrapText="1"/>
    </xf>
    <xf numFmtId="39" fontId="5" fillId="2" borderId="11" xfId="0" applyNumberFormat="1" applyFont="1" applyFill="1" applyBorder="1" applyAlignment="1">
      <alignment vertical="center" wrapText="1"/>
    </xf>
    <xf numFmtId="39" fontId="5" fillId="3" borderId="11" xfId="0" applyNumberFormat="1" applyFont="1" applyFill="1" applyBorder="1" applyAlignment="1">
      <alignment vertical="center" wrapText="1"/>
    </xf>
    <xf numFmtId="39" fontId="5" fillId="3" borderId="7" xfId="0" applyNumberFormat="1" applyFont="1" applyFill="1" applyBorder="1" applyAlignment="1">
      <alignment horizontal="right" vertical="center" wrapText="1"/>
    </xf>
    <xf numFmtId="39" fontId="5" fillId="3" borderId="7" xfId="0" applyNumberFormat="1" applyFont="1" applyFill="1" applyBorder="1" applyAlignment="1">
      <alignment vertical="center" wrapText="1"/>
    </xf>
    <xf numFmtId="10" fontId="10" fillId="5" borderId="11" xfId="0" applyNumberFormat="1" applyFont="1" applyFill="1" applyBorder="1" applyAlignment="1">
      <alignment vertical="center" wrapText="1"/>
    </xf>
    <xf numFmtId="2" fontId="10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10" fontId="12" fillId="5" borderId="8" xfId="0" applyNumberFormat="1" applyFont="1" applyFill="1" applyBorder="1" applyAlignment="1">
      <alignment horizontal="right" vertical="center" wrapText="1"/>
    </xf>
    <xf numFmtId="10" fontId="12" fillId="5" borderId="8" xfId="0" applyNumberFormat="1" applyFont="1" applyFill="1" applyBorder="1" applyAlignment="1">
      <alignment horizontal="right" vertical="center"/>
    </xf>
    <xf numFmtId="10" fontId="12" fillId="5" borderId="8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5" fillId="5" borderId="9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43" fontId="12" fillId="3" borderId="0" xfId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49" fontId="10" fillId="0" borderId="0" xfId="0" applyNumberFormat="1" applyFont="1" applyAlignment="1">
      <alignment horizontal="right"/>
    </xf>
    <xf numFmtId="0" fontId="5" fillId="6" borderId="15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39" fontId="9" fillId="2" borderId="0" xfId="0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10" fillId="7" borderId="0" xfId="0" applyFont="1" applyFill="1" applyAlignment="1">
      <alignment vertical="center"/>
    </xf>
    <xf numFmtId="39" fontId="10" fillId="7" borderId="0" xfId="0" applyNumberFormat="1" applyFont="1" applyFill="1" applyAlignment="1">
      <alignment horizontal="right" vertical="center"/>
    </xf>
    <xf numFmtId="10" fontId="10" fillId="7" borderId="0" xfId="0" applyNumberFormat="1" applyFont="1" applyFill="1" applyAlignment="1">
      <alignment horizontal="right" vertical="center"/>
    </xf>
    <xf numFmtId="0" fontId="11" fillId="0" borderId="0" xfId="0" applyFont="1" applyBorder="1"/>
    <xf numFmtId="0" fontId="8" fillId="0" borderId="1" xfId="0" applyFont="1" applyBorder="1" applyAlignment="1">
      <alignment wrapText="1"/>
    </xf>
    <xf numFmtId="10" fontId="10" fillId="0" borderId="11" xfId="0" applyNumberFormat="1" applyFont="1" applyBorder="1" applyAlignment="1">
      <alignment horizontal="right"/>
    </xf>
    <xf numFmtId="10" fontId="9" fillId="0" borderId="11" xfId="0" applyNumberFormat="1" applyFont="1" applyBorder="1" applyAlignment="1">
      <alignment horizontal="right"/>
    </xf>
    <xf numFmtId="0" fontId="5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165" fontId="10" fillId="2" borderId="11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center" vertical="center" wrapText="1"/>
    </xf>
    <xf numFmtId="165" fontId="12" fillId="2" borderId="7" xfId="0" applyNumberFormat="1" applyFont="1" applyFill="1" applyBorder="1" applyAlignment="1">
      <alignment vertical="center" wrapText="1"/>
    </xf>
    <xf numFmtId="10" fontId="5" fillId="8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vertical="center"/>
    </xf>
    <xf numFmtId="0" fontId="16" fillId="0" borderId="0" xfId="0" applyFont="1"/>
    <xf numFmtId="0" fontId="4" fillId="2" borderId="0" xfId="0" applyFont="1" applyFill="1" applyAlignment="1">
      <alignment vertical="center"/>
    </xf>
    <xf numFmtId="12" fontId="5" fillId="0" borderId="6" xfId="0" applyNumberFormat="1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10" fontId="12" fillId="3" borderId="7" xfId="0" applyNumberFormat="1" applyFont="1" applyFill="1" applyBorder="1" applyAlignment="1">
      <alignment horizontal="right" vertical="center"/>
    </xf>
    <xf numFmtId="10" fontId="12" fillId="2" borderId="7" xfId="0" applyNumberFormat="1" applyFont="1" applyFill="1" applyBorder="1" applyAlignment="1">
      <alignment horizontal="right" vertical="center"/>
    </xf>
    <xf numFmtId="165" fontId="12" fillId="5" borderId="11" xfId="0" applyNumberFormat="1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right" vertical="center" wrapText="1"/>
    </xf>
    <xf numFmtId="1" fontId="10" fillId="5" borderId="11" xfId="0" applyNumberFormat="1" applyFont="1" applyFill="1" applyBorder="1" applyAlignment="1">
      <alignment horizontal="right" vertical="center"/>
    </xf>
    <xf numFmtId="0" fontId="10" fillId="5" borderId="11" xfId="0" applyFont="1" applyFill="1" applyBorder="1" applyAlignment="1">
      <alignment horizontal="right" vertical="center"/>
    </xf>
    <xf numFmtId="49" fontId="10" fillId="5" borderId="11" xfId="0" applyNumberFormat="1" applyFont="1" applyFill="1" applyBorder="1" applyAlignment="1">
      <alignment horizontal="right" vertical="center"/>
    </xf>
    <xf numFmtId="49" fontId="10" fillId="5" borderId="7" xfId="0" applyNumberFormat="1" applyFont="1" applyFill="1" applyBorder="1" applyAlignment="1">
      <alignment horizontal="right" vertical="center"/>
    </xf>
    <xf numFmtId="0" fontId="12" fillId="5" borderId="11" xfId="0" applyFont="1" applyFill="1" applyBorder="1" applyAlignment="1">
      <alignment horizontal="right" vertical="center"/>
    </xf>
    <xf numFmtId="0" fontId="12" fillId="5" borderId="11" xfId="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right" vertical="center"/>
    </xf>
    <xf numFmtId="4" fontId="5" fillId="5" borderId="7" xfId="0" applyNumberFormat="1" applyFont="1" applyFill="1" applyBorder="1" applyAlignment="1">
      <alignment vertical="center" wrapText="1"/>
    </xf>
    <xf numFmtId="10" fontId="5" fillId="5" borderId="11" xfId="0" applyNumberFormat="1" applyFont="1" applyFill="1" applyBorder="1" applyAlignment="1">
      <alignment horizontal="right" vertical="center" wrapText="1"/>
    </xf>
    <xf numFmtId="10" fontId="5" fillId="5" borderId="11" xfId="0" applyNumberFormat="1" applyFont="1" applyFill="1" applyBorder="1" applyAlignment="1">
      <alignment horizontal="right" vertical="center"/>
    </xf>
    <xf numFmtId="4" fontId="5" fillId="5" borderId="8" xfId="0" applyNumberFormat="1" applyFont="1" applyFill="1" applyBorder="1" applyAlignment="1">
      <alignment vertical="center" wrapText="1"/>
    </xf>
    <xf numFmtId="10" fontId="9" fillId="5" borderId="11" xfId="0" applyNumberFormat="1" applyFont="1" applyFill="1" applyBorder="1" applyAlignment="1">
      <alignment horizontal="right" vertical="center"/>
    </xf>
    <xf numFmtId="4" fontId="5" fillId="5" borderId="11" xfId="0" applyNumberFormat="1" applyFont="1" applyFill="1" applyBorder="1" applyAlignment="1">
      <alignment vertical="center" wrapText="1"/>
    </xf>
    <xf numFmtId="4" fontId="9" fillId="5" borderId="11" xfId="0" applyNumberFormat="1" applyFont="1" applyFill="1" applyBorder="1" applyAlignment="1">
      <alignment vertical="center" wrapText="1"/>
    </xf>
    <xf numFmtId="10" fontId="9" fillId="5" borderId="11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" fontId="5" fillId="5" borderId="7" xfId="0" applyNumberFormat="1" applyFont="1" applyFill="1" applyBorder="1" applyAlignment="1">
      <alignment horizontal="right" vertical="center" wrapText="1"/>
    </xf>
    <xf numFmtId="4" fontId="5" fillId="5" borderId="6" xfId="0" applyNumberFormat="1" applyFont="1" applyFill="1" applyBorder="1" applyAlignment="1">
      <alignment wrapText="1"/>
    </xf>
    <xf numFmtId="4" fontId="5" fillId="5" borderId="10" xfId="0" applyNumberFormat="1" applyFont="1" applyFill="1" applyBorder="1" applyAlignment="1">
      <alignment vertical="center" wrapText="1"/>
    </xf>
    <xf numFmtId="4" fontId="9" fillId="5" borderId="7" xfId="0" applyNumberFormat="1" applyFont="1" applyFill="1" applyBorder="1" applyAlignment="1">
      <alignment vertical="center" wrapText="1"/>
    </xf>
    <xf numFmtId="165" fontId="14" fillId="5" borderId="11" xfId="0" applyNumberFormat="1" applyFont="1" applyFill="1" applyBorder="1"/>
    <xf numFmtId="10" fontId="14" fillId="5" borderId="11" xfId="0" applyNumberFormat="1" applyFont="1" applyFill="1" applyBorder="1" applyAlignment="1">
      <alignment horizontal="right"/>
    </xf>
    <xf numFmtId="165" fontId="14" fillId="2" borderId="11" xfId="0" applyNumberFormat="1" applyFont="1" applyFill="1" applyBorder="1"/>
    <xf numFmtId="10" fontId="14" fillId="2" borderId="11" xfId="0" applyNumberFormat="1" applyFont="1" applyFill="1" applyBorder="1" applyAlignment="1">
      <alignment horizontal="right"/>
    </xf>
    <xf numFmtId="10" fontId="11" fillId="2" borderId="11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horizontal="right" vertical="center"/>
    </xf>
    <xf numFmtId="4" fontId="9" fillId="2" borderId="8" xfId="0" applyNumberFormat="1" applyFont="1" applyFill="1" applyBorder="1" applyAlignment="1">
      <alignment vertical="center" wrapText="1"/>
    </xf>
    <xf numFmtId="4" fontId="5" fillId="5" borderId="11" xfId="0" applyNumberFormat="1" applyFont="1" applyFill="1" applyBorder="1" applyAlignment="1">
      <alignment horizontal="right" vertical="center" wrapText="1"/>
    </xf>
    <xf numFmtId="4" fontId="9" fillId="5" borderId="11" xfId="0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wrapText="1"/>
    </xf>
    <xf numFmtId="4" fontId="9" fillId="2" borderId="13" xfId="0" applyNumberFormat="1" applyFont="1" applyFill="1" applyBorder="1" applyAlignment="1">
      <alignment vertical="center" wrapText="1"/>
    </xf>
    <xf numFmtId="39" fontId="12" fillId="2" borderId="10" xfId="0" applyNumberFormat="1" applyFont="1" applyFill="1" applyBorder="1" applyAlignment="1">
      <alignment vertical="center" wrapText="1"/>
    </xf>
    <xf numFmtId="39" fontId="9" fillId="2" borderId="2" xfId="0" applyNumberFormat="1" applyFont="1" applyFill="1" applyBorder="1" applyAlignment="1">
      <alignment vertical="center"/>
    </xf>
    <xf numFmtId="39" fontId="9" fillId="2" borderId="8" xfId="0" applyNumberFormat="1" applyFont="1" applyFill="1" applyBorder="1" applyAlignment="1">
      <alignment vertical="center"/>
    </xf>
    <xf numFmtId="39" fontId="9" fillId="2" borderId="11" xfId="0" applyNumberFormat="1" applyFont="1" applyFill="1" applyBorder="1" applyAlignment="1">
      <alignment vertical="center" wrapText="1"/>
    </xf>
    <xf numFmtId="166" fontId="5" fillId="2" borderId="0" xfId="0" applyNumberFormat="1" applyFont="1" applyFill="1" applyBorder="1" applyAlignment="1">
      <alignment vertical="center"/>
    </xf>
    <xf numFmtId="166" fontId="5" fillId="2" borderId="0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4" fontId="12" fillId="5" borderId="8" xfId="0" applyNumberFormat="1" applyFont="1" applyFill="1" applyBorder="1" applyAlignment="1">
      <alignment vertical="center" wrapText="1"/>
    </xf>
    <xf numFmtId="4" fontId="10" fillId="5" borderId="11" xfId="0" applyNumberFormat="1" applyFont="1" applyFill="1" applyBorder="1" applyAlignment="1">
      <alignment vertical="center" wrapText="1"/>
    </xf>
    <xf numFmtId="4" fontId="5" fillId="2" borderId="11" xfId="0" applyNumberFormat="1" applyFont="1" applyFill="1" applyBorder="1" applyAlignment="1">
      <alignment vertical="center"/>
    </xf>
    <xf numFmtId="0" fontId="12" fillId="5" borderId="6" xfId="0" applyFont="1" applyFill="1" applyBorder="1" applyAlignment="1">
      <alignment horizontal="right" vertical="center"/>
    </xf>
    <xf numFmtId="4" fontId="10" fillId="5" borderId="7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20" fillId="0" borderId="0" xfId="0" applyFont="1"/>
    <xf numFmtId="0" fontId="14" fillId="2" borderId="0" xfId="0" applyFont="1" applyFill="1"/>
    <xf numFmtId="165" fontId="5" fillId="2" borderId="7" xfId="0" applyNumberFormat="1" applyFont="1" applyFill="1" applyBorder="1" applyAlignment="1">
      <alignment horizontal="right" vertical="center" wrapText="1"/>
    </xf>
    <xf numFmtId="165" fontId="5" fillId="2" borderId="1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right" vertical="center" wrapText="1"/>
    </xf>
    <xf numFmtId="0" fontId="0" fillId="0" borderId="0" xfId="0" applyBorder="1"/>
    <xf numFmtId="10" fontId="5" fillId="3" borderId="0" xfId="0" applyNumberFormat="1" applyFont="1" applyFill="1" applyBorder="1" applyAlignment="1">
      <alignment horizontal="right" vertical="center" wrapText="1"/>
    </xf>
    <xf numFmtId="10" fontId="9" fillId="0" borderId="0" xfId="0" applyNumberFormat="1" applyFont="1" applyBorder="1" applyAlignment="1">
      <alignment horizontal="right" vertical="center"/>
    </xf>
    <xf numFmtId="10" fontId="10" fillId="0" borderId="0" xfId="0" applyNumberFormat="1" applyFont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39" fontId="12" fillId="5" borderId="5" xfId="1" applyNumberFormat="1" applyFont="1" applyFill="1" applyBorder="1" applyAlignment="1">
      <alignment horizontal="right" vertical="center" wrapText="1"/>
    </xf>
    <xf numFmtId="10" fontId="12" fillId="5" borderId="0" xfId="0" applyNumberFormat="1" applyFont="1" applyFill="1" applyBorder="1" applyAlignment="1">
      <alignment vertical="center" wrapText="1"/>
    </xf>
    <xf numFmtId="10" fontId="12" fillId="5" borderId="0" xfId="0" applyNumberFormat="1" applyFont="1" applyFill="1" applyBorder="1" applyAlignment="1">
      <alignment horizontal="right" vertical="center"/>
    </xf>
    <xf numFmtId="10" fontId="12" fillId="5" borderId="0" xfId="0" applyNumberFormat="1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9" fillId="0" borderId="0" xfId="0" applyFont="1"/>
    <xf numFmtId="4" fontId="5" fillId="2" borderId="0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/>
    <xf numFmtId="4" fontId="5" fillId="2" borderId="0" xfId="0" applyNumberFormat="1" applyFont="1" applyFill="1" applyBorder="1" applyAlignment="1">
      <alignment horizontal="right" vertical="center" wrapText="1"/>
    </xf>
    <xf numFmtId="165" fontId="9" fillId="2" borderId="0" xfId="0" applyNumberFormat="1" applyFont="1" applyFill="1" applyBorder="1"/>
    <xf numFmtId="10" fontId="5" fillId="2" borderId="0" xfId="0" applyNumberFormat="1" applyFont="1" applyFill="1" applyBorder="1" applyAlignment="1">
      <alignment horizontal="right" vertical="center" wrapText="1"/>
    </xf>
    <xf numFmtId="10" fontId="9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2" borderId="0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4" fontId="11" fillId="0" borderId="0" xfId="0" applyNumberFormat="1" applyFont="1"/>
    <xf numFmtId="2" fontId="11" fillId="0" borderId="0" xfId="0" applyNumberFormat="1" applyFont="1"/>
    <xf numFmtId="168" fontId="11" fillId="0" borderId="0" xfId="0" applyNumberFormat="1" applyFont="1"/>
    <xf numFmtId="165" fontId="14" fillId="2" borderId="7" xfId="0" applyNumberFormat="1" applyFont="1" applyFill="1" applyBorder="1" applyAlignment="1">
      <alignment horizontal="right" vertical="center"/>
    </xf>
    <xf numFmtId="165" fontId="14" fillId="2" borderId="7" xfId="0" applyNumberFormat="1" applyFont="1" applyFill="1" applyBorder="1" applyAlignment="1">
      <alignment vertical="center" wrapText="1"/>
    </xf>
    <xf numFmtId="4" fontId="14" fillId="2" borderId="7" xfId="0" applyNumberFormat="1" applyFont="1" applyFill="1" applyBorder="1" applyAlignment="1">
      <alignment vertical="center" wrapText="1"/>
    </xf>
    <xf numFmtId="4" fontId="15" fillId="5" borderId="11" xfId="0" applyNumberFormat="1" applyFont="1" applyFill="1" applyBorder="1" applyAlignment="1">
      <alignment horizontal="right" vertical="center"/>
    </xf>
    <xf numFmtId="4" fontId="14" fillId="2" borderId="11" xfId="0" applyNumberFormat="1" applyFont="1" applyFill="1" applyBorder="1" applyAlignment="1">
      <alignment vertical="center" wrapText="1"/>
    </xf>
    <xf numFmtId="165" fontId="22" fillId="2" borderId="7" xfId="0" applyNumberFormat="1" applyFont="1" applyFill="1" applyBorder="1" applyAlignment="1">
      <alignment horizontal="right" vertical="center" wrapText="1"/>
    </xf>
    <xf numFmtId="4" fontId="22" fillId="5" borderId="11" xfId="0" applyNumberFormat="1" applyFont="1" applyFill="1" applyBorder="1" applyAlignment="1">
      <alignment horizontal="right" vertical="center" wrapText="1"/>
    </xf>
    <xf numFmtId="0" fontId="23" fillId="0" borderId="0" xfId="0" applyFont="1"/>
    <xf numFmtId="165" fontId="11" fillId="0" borderId="0" xfId="0" applyNumberFormat="1" applyFont="1"/>
    <xf numFmtId="4" fontId="9" fillId="2" borderId="11" xfId="0" applyNumberFormat="1" applyFont="1" applyFill="1" applyBorder="1" applyAlignment="1">
      <alignment horizontal="right" vertical="center" wrapText="1"/>
    </xf>
    <xf numFmtId="4" fontId="14" fillId="2" borderId="11" xfId="0" applyNumberFormat="1" applyFont="1" applyFill="1" applyBorder="1" applyAlignment="1">
      <alignment horizontal="righ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39" fontId="14" fillId="2" borderId="11" xfId="0" applyNumberFormat="1" applyFont="1" applyFill="1" applyBorder="1" applyAlignment="1">
      <alignment vertical="center" wrapText="1"/>
    </xf>
    <xf numFmtId="4" fontId="14" fillId="3" borderId="11" xfId="0" applyNumberFormat="1" applyFont="1" applyFill="1" applyBorder="1" applyAlignment="1">
      <alignment horizontal="right" vertical="center" wrapText="1"/>
    </xf>
    <xf numFmtId="0" fontId="14" fillId="2" borderId="10" xfId="0" applyFont="1" applyFill="1" applyBorder="1" applyAlignment="1">
      <alignment horizontal="center" vertical="center"/>
    </xf>
    <xf numFmtId="0" fontId="23" fillId="0" borderId="0" xfId="0" applyFont="1" applyBorder="1"/>
    <xf numFmtId="2" fontId="11" fillId="0" borderId="0" xfId="0" applyNumberFormat="1" applyFont="1" applyBorder="1"/>
    <xf numFmtId="4" fontId="14" fillId="2" borderId="14" xfId="0" applyNumberFormat="1" applyFont="1" applyFill="1" applyBorder="1" applyAlignment="1">
      <alignment horizontal="right" vertical="center" wrapText="1"/>
    </xf>
    <xf numFmtId="43" fontId="5" fillId="0" borderId="0" xfId="1" applyFont="1" applyBorder="1" applyAlignment="1">
      <alignment horizontal="right" vertical="center"/>
    </xf>
    <xf numFmtId="165" fontId="14" fillId="2" borderId="6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164" fontId="10" fillId="5" borderId="7" xfId="0" applyNumberFormat="1" applyFont="1" applyFill="1" applyBorder="1" applyAlignment="1">
      <alignment horizontal="right" vertical="center"/>
    </xf>
    <xf numFmtId="165" fontId="10" fillId="5" borderId="2" xfId="0" applyNumberFormat="1" applyFont="1" applyFill="1" applyBorder="1" applyAlignment="1">
      <alignment horizontal="right" vertical="center"/>
    </xf>
    <xf numFmtId="165" fontId="10" fillId="5" borderId="5" xfId="0" applyNumberFormat="1" applyFont="1" applyFill="1" applyBorder="1" applyAlignment="1">
      <alignment horizontal="right" vertical="center"/>
    </xf>
    <xf numFmtId="4" fontId="10" fillId="5" borderId="11" xfId="0" applyNumberFormat="1" applyFont="1" applyFill="1" applyBorder="1" applyAlignment="1">
      <alignment horizontal="right" vertical="center" wrapText="1"/>
    </xf>
    <xf numFmtId="4" fontId="15" fillId="5" borderId="7" xfId="0" applyNumberFormat="1" applyFont="1" applyFill="1" applyBorder="1" applyAlignment="1">
      <alignment vertical="center" wrapText="1"/>
    </xf>
    <xf numFmtId="4" fontId="15" fillId="5" borderId="11" xfId="0" applyNumberFormat="1" applyFont="1" applyFill="1" applyBorder="1" applyAlignment="1">
      <alignment vertical="center" wrapText="1"/>
    </xf>
    <xf numFmtId="4" fontId="15" fillId="5" borderId="7" xfId="0" applyNumberFormat="1" applyFont="1" applyFill="1" applyBorder="1" applyAlignment="1">
      <alignment horizontal="right" vertical="center" wrapText="1"/>
    </xf>
    <xf numFmtId="4" fontId="18" fillId="2" borderId="11" xfId="0" applyNumberFormat="1" applyFont="1" applyFill="1" applyBorder="1" applyAlignment="1">
      <alignment vertical="center" wrapText="1"/>
    </xf>
    <xf numFmtId="4" fontId="18" fillId="2" borderId="8" xfId="0" applyNumberFormat="1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vertical="center" wrapText="1"/>
    </xf>
    <xf numFmtId="4" fontId="14" fillId="3" borderId="7" xfId="0" applyNumberFormat="1" applyFont="1" applyFill="1" applyBorder="1"/>
    <xf numFmtId="4" fontId="14" fillId="3" borderId="4" xfId="0" applyNumberFormat="1" applyFont="1" applyFill="1" applyBorder="1"/>
    <xf numFmtId="4" fontId="10" fillId="5" borderId="11" xfId="0" applyNumberFormat="1" applyFont="1" applyFill="1" applyBorder="1" applyAlignment="1">
      <alignment horizontal="right" vertical="center"/>
    </xf>
    <xf numFmtId="4" fontId="9" fillId="2" borderId="11" xfId="0" applyNumberFormat="1" applyFont="1" applyFill="1" applyBorder="1" applyAlignment="1">
      <alignment horizontal="right" vertical="center"/>
    </xf>
    <xf numFmtId="165" fontId="10" fillId="5" borderId="11" xfId="0" applyNumberFormat="1" applyFont="1" applyFill="1" applyBorder="1" applyAlignment="1">
      <alignment horizontal="right" vertical="center" wrapText="1"/>
    </xf>
    <xf numFmtId="4" fontId="10" fillId="5" borderId="6" xfId="0" applyNumberFormat="1" applyFont="1" applyFill="1" applyBorder="1" applyAlignment="1">
      <alignment vertical="center" wrapText="1"/>
    </xf>
    <xf numFmtId="4" fontId="10" fillId="5" borderId="11" xfId="0" applyNumberFormat="1" applyFont="1" applyFill="1" applyBorder="1" applyAlignment="1">
      <alignment vertical="center"/>
    </xf>
    <xf numFmtId="4" fontId="18" fillId="3" borderId="7" xfId="0" applyNumberFormat="1" applyFont="1" applyFill="1" applyBorder="1" applyAlignment="1">
      <alignment horizontal="right" vertical="center" wrapText="1"/>
    </xf>
    <xf numFmtId="4" fontId="18" fillId="2" borderId="7" xfId="0" applyNumberFormat="1" applyFont="1" applyFill="1" applyBorder="1" applyAlignment="1">
      <alignment vertical="center" wrapText="1"/>
    </xf>
    <xf numFmtId="4" fontId="3" fillId="2" borderId="11" xfId="0" applyNumberFormat="1" applyFont="1" applyFill="1" applyBorder="1" applyAlignment="1">
      <alignment vertical="center" wrapText="1"/>
    </xf>
    <xf numFmtId="39" fontId="10" fillId="5" borderId="11" xfId="1" applyNumberFormat="1" applyFont="1" applyFill="1" applyBorder="1" applyAlignment="1">
      <alignment horizontal="right" vertical="center" wrapText="1"/>
    </xf>
    <xf numFmtId="165" fontId="10" fillId="5" borderId="11" xfId="1" applyNumberFormat="1" applyFont="1" applyFill="1" applyBorder="1" applyAlignment="1">
      <alignment horizontal="right" vertical="center" wrapText="1"/>
    </xf>
    <xf numFmtId="165" fontId="10" fillId="7" borderId="11" xfId="1" applyNumberFormat="1" applyFont="1" applyFill="1" applyBorder="1" applyAlignment="1">
      <alignment horizontal="right" vertical="center" wrapText="1"/>
    </xf>
    <xf numFmtId="165" fontId="3" fillId="2" borderId="7" xfId="0" applyNumberFormat="1" applyFont="1" applyFill="1" applyBorder="1" applyAlignment="1">
      <alignment horizontal="right" vertical="center"/>
    </xf>
    <xf numFmtId="43" fontId="10" fillId="7" borderId="11" xfId="1" applyFont="1" applyFill="1" applyBorder="1" applyAlignment="1">
      <alignment horizontal="right" vertical="center" wrapText="1"/>
    </xf>
    <xf numFmtId="4" fontId="18" fillId="3" borderId="11" xfId="0" applyNumberFormat="1" applyFont="1" applyFill="1" applyBorder="1" applyAlignment="1">
      <alignment horizontal="right" vertical="center" wrapText="1"/>
    </xf>
    <xf numFmtId="43" fontId="10" fillId="5" borderId="11" xfId="1" applyFont="1" applyFill="1" applyBorder="1" applyAlignment="1">
      <alignment horizontal="right" vertical="center" wrapText="1"/>
    </xf>
    <xf numFmtId="165" fontId="18" fillId="2" borderId="7" xfId="0" applyNumberFormat="1" applyFont="1" applyFill="1" applyBorder="1" applyAlignment="1">
      <alignment vertical="center" wrapText="1"/>
    </xf>
    <xf numFmtId="165" fontId="10" fillId="5" borderId="7" xfId="1" applyNumberFormat="1" applyFont="1" applyFill="1" applyBorder="1" applyAlignment="1">
      <alignment horizontal="right" vertical="center" wrapText="1"/>
    </xf>
    <xf numFmtId="165" fontId="10" fillId="5" borderId="8" xfId="1" applyNumberFormat="1" applyFont="1" applyFill="1" applyBorder="1" applyAlignment="1">
      <alignment horizontal="right" vertical="center" wrapText="1"/>
    </xf>
    <xf numFmtId="165" fontId="10" fillId="5" borderId="10" xfId="1" applyNumberFormat="1" applyFont="1" applyFill="1" applyBorder="1" applyAlignment="1">
      <alignment horizontal="right" vertical="center" wrapText="1"/>
    </xf>
    <xf numFmtId="165" fontId="3" fillId="2" borderId="4" xfId="0" applyNumberFormat="1" applyFont="1" applyFill="1" applyBorder="1" applyAlignment="1">
      <alignment vertical="center"/>
    </xf>
    <xf numFmtId="43" fontId="11" fillId="0" borderId="0" xfId="1" applyFont="1"/>
    <xf numFmtId="0" fontId="10" fillId="0" borderId="6" xfId="0" applyFont="1" applyBorder="1" applyAlignment="1">
      <alignment horizontal="left" vertical="center"/>
    </xf>
    <xf numFmtId="43" fontId="5" fillId="0" borderId="0" xfId="1" applyFont="1" applyBorder="1" applyAlignment="1">
      <alignment horizontal="left" vertical="center"/>
    </xf>
    <xf numFmtId="4" fontId="10" fillId="5" borderId="7" xfId="0" applyNumberFormat="1" applyFont="1" applyFill="1" applyBorder="1" applyAlignment="1">
      <alignment horizontal="right" vertical="center"/>
    </xf>
    <xf numFmtId="39" fontId="10" fillId="5" borderId="6" xfId="0" applyNumberFormat="1" applyFont="1" applyFill="1" applyBorder="1" applyAlignment="1">
      <alignment vertical="center" wrapText="1"/>
    </xf>
    <xf numFmtId="165" fontId="10" fillId="5" borderId="7" xfId="0" applyNumberFormat="1" applyFont="1" applyFill="1" applyBorder="1" applyAlignment="1">
      <alignment horizontal="right" vertical="center" wrapText="1"/>
    </xf>
    <xf numFmtId="0" fontId="12" fillId="5" borderId="7" xfId="0" applyFont="1" applyFill="1" applyBorder="1" applyAlignment="1">
      <alignment horizontal="right" vertical="center"/>
    </xf>
    <xf numFmtId="49" fontId="12" fillId="5" borderId="7" xfId="0" applyNumberFormat="1" applyFont="1" applyFill="1" applyBorder="1" applyAlignment="1">
      <alignment horizontal="right" vertical="center"/>
    </xf>
    <xf numFmtId="49" fontId="12" fillId="5" borderId="2" xfId="0" applyNumberFormat="1" applyFont="1" applyFill="1" applyBorder="1" applyAlignment="1">
      <alignment horizontal="right" vertical="center" wrapText="1"/>
    </xf>
    <xf numFmtId="49" fontId="5" fillId="4" borderId="12" xfId="0" applyNumberFormat="1" applyFont="1" applyFill="1" applyBorder="1" applyAlignment="1">
      <alignment horizontal="right" vertical="center" wrapText="1"/>
    </xf>
    <xf numFmtId="39" fontId="10" fillId="2" borderId="1" xfId="0" applyNumberFormat="1" applyFont="1" applyFill="1" applyBorder="1" applyAlignment="1">
      <alignment vertical="center" wrapText="1"/>
    </xf>
    <xf numFmtId="39" fontId="10" fillId="2" borderId="8" xfId="0" applyNumberFormat="1" applyFont="1" applyFill="1" applyBorder="1" applyAlignment="1">
      <alignment vertical="center" wrapText="1"/>
    </xf>
    <xf numFmtId="4" fontId="10" fillId="2" borderId="11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right" vertical="center"/>
    </xf>
    <xf numFmtId="39" fontId="28" fillId="5" borderId="11" xfId="1" applyNumberFormat="1" applyFont="1" applyFill="1" applyBorder="1" applyAlignment="1">
      <alignment horizontal="right" vertical="center" wrapText="1"/>
    </xf>
    <xf numFmtId="43" fontId="6" fillId="0" borderId="15" xfId="1" applyFont="1" applyBorder="1" applyAlignment="1">
      <alignment horizontal="right"/>
    </xf>
    <xf numFmtId="165" fontId="14" fillId="2" borderId="11" xfId="0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left" vertical="center"/>
    </xf>
    <xf numFmtId="165" fontId="9" fillId="2" borderId="7" xfId="0" applyNumberFormat="1" applyFont="1" applyFill="1" applyBorder="1" applyAlignment="1">
      <alignment vertical="center" wrapText="1"/>
    </xf>
    <xf numFmtId="165" fontId="5" fillId="2" borderId="10" xfId="0" applyNumberFormat="1" applyFont="1" applyFill="1" applyBorder="1" applyAlignment="1">
      <alignment horizontal="right" vertical="center" wrapText="1"/>
    </xf>
    <xf numFmtId="4" fontId="18" fillId="2" borderId="11" xfId="0" applyNumberFormat="1" applyFont="1" applyFill="1" applyBorder="1" applyAlignment="1">
      <alignment horizontal="right" vertical="center"/>
    </xf>
    <xf numFmtId="4" fontId="18" fillId="2" borderId="7" xfId="0" applyNumberFormat="1" applyFont="1" applyFill="1" applyBorder="1" applyAlignment="1">
      <alignment horizontal="right" vertical="center"/>
    </xf>
    <xf numFmtId="4" fontId="18" fillId="3" borderId="7" xfId="0" applyNumberFormat="1" applyFont="1" applyFill="1" applyBorder="1"/>
    <xf numFmtId="4" fontId="18" fillId="3" borderId="11" xfId="0" applyNumberFormat="1" applyFont="1" applyFill="1" applyBorder="1"/>
    <xf numFmtId="4" fontId="18" fillId="3" borderId="12" xfId="0" applyNumberFormat="1" applyFont="1" applyFill="1" applyBorder="1"/>
    <xf numFmtId="4" fontId="18" fillId="3" borderId="4" xfId="0" applyNumberFormat="1" applyFont="1" applyFill="1" applyBorder="1"/>
    <xf numFmtId="4" fontId="15" fillId="3" borderId="7" xfId="0" applyNumberFormat="1" applyFont="1" applyFill="1" applyBorder="1" applyAlignment="1">
      <alignment horizontal="right" vertical="center"/>
    </xf>
    <xf numFmtId="165" fontId="14" fillId="5" borderId="11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6" fillId="0" borderId="0" xfId="2"/>
    <xf numFmtId="0" fontId="6" fillId="0" borderId="0" xfId="2" applyBorder="1"/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/>
    <xf numFmtId="0" fontId="9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0" borderId="0" xfId="0" applyFont="1"/>
    <xf numFmtId="0" fontId="5" fillId="3" borderId="0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/>
    </xf>
    <xf numFmtId="165" fontId="5" fillId="2" borderId="8" xfId="0" applyNumberFormat="1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0" fillId="0" borderId="0" xfId="0"/>
    <xf numFmtId="165" fontId="10" fillId="5" borderId="1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5" fontId="10" fillId="4" borderId="4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65" fontId="14" fillId="2" borderId="0" xfId="0" applyNumberFormat="1" applyFont="1" applyFill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6" fillId="0" borderId="0" xfId="2"/>
    <xf numFmtId="0" fontId="12" fillId="0" borderId="6" xfId="0" applyFont="1" applyBorder="1" applyAlignment="1">
      <alignment horizontal="center" vertical="center"/>
    </xf>
    <xf numFmtId="166" fontId="29" fillId="5" borderId="0" xfId="0" applyNumberFormat="1" applyFont="1" applyFill="1" applyBorder="1" applyAlignment="1">
      <alignment horizontal="right" vertical="center"/>
    </xf>
    <xf numFmtId="0" fontId="18" fillId="5" borderId="11" xfId="0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left" vertical="top"/>
    </xf>
    <xf numFmtId="4" fontId="14" fillId="2" borderId="11" xfId="0" applyNumberFormat="1" applyFont="1" applyFill="1" applyBorder="1" applyAlignment="1">
      <alignment horizontal="right" vertical="center"/>
    </xf>
    <xf numFmtId="0" fontId="11" fillId="0" borderId="11" xfId="0" applyFont="1" applyBorder="1"/>
    <xf numFmtId="43" fontId="14" fillId="0" borderId="11" xfId="1" applyFont="1" applyBorder="1"/>
    <xf numFmtId="0" fontId="14" fillId="5" borderId="6" xfId="0" applyFont="1" applyFill="1" applyBorder="1" applyAlignment="1">
      <alignment horizontal="right" vertical="center"/>
    </xf>
    <xf numFmtId="4" fontId="14" fillId="5" borderId="7" xfId="0" applyNumberFormat="1" applyFont="1" applyFill="1" applyBorder="1" applyAlignment="1">
      <alignment horizontal="right" vertical="center" wrapText="1"/>
    </xf>
    <xf numFmtId="0" fontId="14" fillId="5" borderId="6" xfId="0" applyFont="1" applyFill="1" applyBorder="1" applyAlignment="1">
      <alignment horizontal="left" vertical="center"/>
    </xf>
    <xf numFmtId="0" fontId="14" fillId="5" borderId="7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2" applyBorder="1"/>
    <xf numFmtId="0" fontId="9" fillId="0" borderId="0" xfId="0" applyFont="1" applyAlignment="1">
      <alignment horizontal="left"/>
    </xf>
    <xf numFmtId="0" fontId="6" fillId="0" borderId="0" xfId="2"/>
    <xf numFmtId="0" fontId="0" fillId="0" borderId="0" xfId="0"/>
    <xf numFmtId="0" fontId="4" fillId="0" borderId="0" xfId="0" applyFont="1" applyAlignment="1">
      <alignment horizontal="center" vertical="center"/>
    </xf>
    <xf numFmtId="43" fontId="14" fillId="0" borderId="0" xfId="1" applyFont="1"/>
    <xf numFmtId="0" fontId="9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0" xfId="0"/>
    <xf numFmtId="0" fontId="1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2" applyBorder="1"/>
    <xf numFmtId="169" fontId="10" fillId="0" borderId="0" xfId="1" applyNumberFormat="1" applyFont="1" applyBorder="1" applyAlignment="1">
      <alignment horizontal="right" vertical="center"/>
    </xf>
    <xf numFmtId="0" fontId="10" fillId="2" borderId="0" xfId="0" applyNumberFormat="1" applyFont="1" applyFill="1" applyBorder="1" applyAlignment="1">
      <alignment horizontal="right" vertical="center"/>
    </xf>
    <xf numFmtId="0" fontId="12" fillId="2" borderId="0" xfId="0" applyNumberFormat="1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6" fillId="0" borderId="0" xfId="2" applyBorder="1"/>
    <xf numFmtId="0" fontId="5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0" borderId="0" xfId="0" applyFont="1"/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165" fontId="10" fillId="5" borderId="7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0" fillId="0" borderId="0" xfId="0"/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justify" wrapText="1"/>
    </xf>
    <xf numFmtId="0" fontId="9" fillId="0" borderId="7" xfId="0" applyFont="1" applyBorder="1" applyAlignment="1">
      <alignment horizontal="left" vertical="justify" wrapText="1"/>
    </xf>
    <xf numFmtId="0" fontId="9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justify" wrapText="1"/>
    </xf>
    <xf numFmtId="0" fontId="5" fillId="3" borderId="0" xfId="0" applyFont="1" applyFill="1" applyBorder="1" applyAlignment="1">
      <alignment horizontal="left" vertical="justify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/>
    </xf>
    <xf numFmtId="0" fontId="6" fillId="0" borderId="0" xfId="2" applyBorder="1"/>
    <xf numFmtId="0" fontId="12" fillId="7" borderId="6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6" fillId="0" borderId="0" xfId="2"/>
    <xf numFmtId="0" fontId="15" fillId="0" borderId="0" xfId="0" applyFont="1"/>
    <xf numFmtId="0" fontId="21" fillId="0" borderId="0" xfId="0" applyFont="1"/>
    <xf numFmtId="0" fontId="5" fillId="3" borderId="0" xfId="0" applyFont="1" applyFill="1" applyBorder="1" applyAlignment="1">
      <alignment horizontal="left" vertical="center" wrapText="1"/>
    </xf>
    <xf numFmtId="10" fontId="12" fillId="5" borderId="6" xfId="0" applyNumberFormat="1" applyFont="1" applyFill="1" applyBorder="1" applyAlignment="1">
      <alignment horizontal="right" vertical="center"/>
    </xf>
    <xf numFmtId="10" fontId="12" fillId="5" borderId="7" xfId="0" applyNumberFormat="1" applyFont="1" applyFill="1" applyBorder="1" applyAlignment="1">
      <alignment horizontal="right" vertical="center"/>
    </xf>
    <xf numFmtId="10" fontId="5" fillId="0" borderId="6" xfId="0" applyNumberFormat="1" applyFont="1" applyBorder="1" applyAlignment="1">
      <alignment horizontal="right" vertical="center"/>
    </xf>
    <xf numFmtId="10" fontId="5" fillId="0" borderId="7" xfId="0" applyNumberFormat="1" applyFont="1" applyBorder="1" applyAlignment="1">
      <alignment horizontal="right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5" borderId="6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17" fillId="8" borderId="11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</xdr:row>
      <xdr:rowOff>57152</xdr:rowOff>
    </xdr:from>
    <xdr:to>
      <xdr:col>2</xdr:col>
      <xdr:colOff>76200</xdr:colOff>
      <xdr:row>6</xdr:row>
      <xdr:rowOff>95251</xdr:rowOff>
    </xdr:to>
    <xdr:pic>
      <xdr:nvPicPr>
        <xdr:cNvPr id="2" name="Picture 5" descr="85px-Coat_of_arms_of_Kosovo_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266702"/>
          <a:ext cx="962026" cy="1085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561955</xdr:colOff>
      <xdr:row>1</xdr:row>
      <xdr:rowOff>95630</xdr:rowOff>
    </xdr:from>
    <xdr:to>
      <xdr:col>8</xdr:col>
      <xdr:colOff>342928</xdr:colOff>
      <xdr:row>6</xdr:row>
      <xdr:rowOff>143285</xdr:rowOff>
    </xdr:to>
    <xdr:pic>
      <xdr:nvPicPr>
        <xdr:cNvPr id="3" name="Picture 4" descr="amble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21563546" flipV="1">
          <a:off x="5991205" y="305180"/>
          <a:ext cx="943023" cy="109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457200</xdr:colOff>
      <xdr:row>13</xdr:row>
      <xdr:rowOff>209550</xdr:rowOff>
    </xdr:from>
    <xdr:ext cx="184731" cy="264560"/>
    <xdr:sp macro="" textlink="">
      <xdr:nvSpPr>
        <xdr:cNvPr id="4" name="TextBox 3"/>
        <xdr:cNvSpPr txBox="1"/>
      </xdr:nvSpPr>
      <xdr:spPr>
        <a:xfrm>
          <a:off x="588645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96"/>
  <sheetViews>
    <sheetView tabSelected="1" zoomScaleNormal="100" workbookViewId="0">
      <selection activeCell="J10" sqref="J10"/>
    </sheetView>
  </sheetViews>
  <sheetFormatPr defaultRowHeight="15" x14ac:dyDescent="0.25"/>
  <cols>
    <col min="1" max="1" width="8" style="521" customWidth="1"/>
    <col min="2" max="2" width="9.28515625" style="521" bestFit="1" customWidth="1"/>
    <col min="3" max="3" width="26.42578125" style="521" customWidth="1"/>
    <col min="4" max="4" width="10.5703125" style="521" customWidth="1"/>
    <col min="5" max="5" width="15.42578125" style="521" customWidth="1"/>
    <col min="6" max="6" width="11.7109375" style="521" bestFit="1" customWidth="1"/>
    <col min="7" max="7" width="8.85546875" style="521" customWidth="1"/>
    <col min="8" max="8" width="8.5703125" style="521" customWidth="1"/>
    <col min="9" max="9" width="13.28515625" style="521" customWidth="1"/>
    <col min="10" max="10" width="9.140625" style="521"/>
    <col min="11" max="11" width="17.140625" style="521" customWidth="1"/>
    <col min="12" max="12" width="17.85546875" style="521" customWidth="1"/>
    <col min="13" max="13" width="15.140625" style="521" customWidth="1"/>
    <col min="14" max="14" width="18.85546875" style="521" customWidth="1"/>
    <col min="15" max="15" width="13.5703125" style="521" bestFit="1" customWidth="1"/>
    <col min="16" max="16" width="12.140625" style="521" customWidth="1"/>
    <col min="17" max="17" width="12.42578125" style="521" bestFit="1" customWidth="1"/>
    <col min="18" max="18" width="13.5703125" style="521" bestFit="1" customWidth="1"/>
    <col min="19" max="19" width="11" style="521" bestFit="1" customWidth="1"/>
    <col min="20" max="20" width="9.140625" style="521"/>
    <col min="21" max="21" width="12.42578125" style="521" bestFit="1" customWidth="1"/>
    <col min="22" max="16384" width="9.140625" style="521"/>
  </cols>
  <sheetData>
    <row r="1" spans="1:9" ht="16.5" x14ac:dyDescent="0.3">
      <c r="A1" s="8"/>
      <c r="B1" s="8"/>
      <c r="C1" s="8"/>
      <c r="D1" s="8"/>
      <c r="E1" s="8"/>
      <c r="F1" s="8"/>
      <c r="G1" s="8"/>
      <c r="H1" s="8"/>
      <c r="I1" s="8"/>
    </row>
    <row r="2" spans="1:9" ht="16.5" x14ac:dyDescent="0.25">
      <c r="A2" s="884" t="s">
        <v>0</v>
      </c>
      <c r="B2" s="884"/>
      <c r="C2" s="884"/>
      <c r="D2" s="884"/>
      <c r="E2" s="884"/>
      <c r="F2" s="884"/>
      <c r="G2" s="884"/>
      <c r="H2" s="884"/>
      <c r="I2" s="884"/>
    </row>
    <row r="3" spans="1:9" ht="16.5" customHeight="1" x14ac:dyDescent="0.3">
      <c r="A3" s="885" t="s">
        <v>1</v>
      </c>
      <c r="B3" s="885"/>
      <c r="C3" s="885"/>
      <c r="D3" s="885"/>
      <c r="E3" s="885"/>
      <c r="F3" s="885"/>
      <c r="G3" s="885"/>
      <c r="H3" s="885"/>
      <c r="I3" s="885"/>
    </row>
    <row r="4" spans="1:9" ht="16.5" customHeight="1" x14ac:dyDescent="0.3">
      <c r="A4" s="886" t="s">
        <v>2</v>
      </c>
      <c r="B4" s="886"/>
      <c r="C4" s="886"/>
      <c r="D4" s="886"/>
      <c r="E4" s="886"/>
      <c r="F4" s="886"/>
      <c r="G4" s="886"/>
      <c r="H4" s="886"/>
      <c r="I4" s="886"/>
    </row>
    <row r="5" spans="1:9" ht="16.5" customHeight="1" x14ac:dyDescent="0.3">
      <c r="A5" s="886" t="s">
        <v>3</v>
      </c>
      <c r="B5" s="886"/>
      <c r="C5" s="886"/>
      <c r="D5" s="886"/>
      <c r="E5" s="886"/>
      <c r="F5" s="886"/>
      <c r="G5" s="886"/>
      <c r="H5" s="886"/>
      <c r="I5" s="886"/>
    </row>
    <row r="6" spans="1:9" ht="16.5" x14ac:dyDescent="0.3">
      <c r="A6" s="884"/>
      <c r="B6" s="884"/>
      <c r="C6" s="884"/>
      <c r="D6" s="884"/>
      <c r="E6" s="884"/>
      <c r="F6" s="884"/>
      <c r="G6" s="884"/>
      <c r="H6" s="884"/>
      <c r="I6" s="9"/>
    </row>
    <row r="7" spans="1:9" ht="16.5" x14ac:dyDescent="0.3">
      <c r="A7" s="10"/>
      <c r="B7" s="11"/>
      <c r="C7" s="9"/>
      <c r="D7" s="9"/>
      <c r="E7" s="9"/>
      <c r="F7" s="9"/>
      <c r="G7" s="12"/>
      <c r="H7" s="9"/>
      <c r="I7" s="13"/>
    </row>
    <row r="8" spans="1:9" ht="16.5" customHeight="1" x14ac:dyDescent="0.3">
      <c r="A8" s="887" t="s">
        <v>4</v>
      </c>
      <c r="B8" s="887"/>
      <c r="C8" s="887"/>
      <c r="D8" s="887"/>
      <c r="E8" s="887"/>
      <c r="F8" s="887"/>
      <c r="G8" s="887"/>
      <c r="H8" s="887"/>
      <c r="I8" s="323"/>
    </row>
    <row r="9" spans="1:9" ht="16.5" x14ac:dyDescent="0.3">
      <c r="A9" s="551"/>
      <c r="B9" s="551"/>
      <c r="C9" s="551"/>
      <c r="D9" s="551"/>
      <c r="E9" s="551"/>
      <c r="F9" s="551"/>
      <c r="G9" s="551"/>
      <c r="H9" s="551"/>
      <c r="I9" s="13"/>
    </row>
    <row r="10" spans="1:9" ht="16.5" x14ac:dyDescent="0.3">
      <c r="A10" s="558"/>
      <c r="B10" s="4"/>
      <c r="C10" s="4"/>
      <c r="D10" s="4"/>
      <c r="E10" s="4"/>
      <c r="F10" s="4"/>
      <c r="G10" s="4"/>
      <c r="H10" s="4"/>
      <c r="I10" s="4"/>
    </row>
    <row r="11" spans="1:9" ht="16.5" x14ac:dyDescent="0.25">
      <c r="A11" s="889" t="s">
        <v>5</v>
      </c>
      <c r="B11" s="889"/>
      <c r="C11" s="889"/>
      <c r="D11" s="889"/>
      <c r="E11" s="889"/>
      <c r="F11" s="889"/>
      <c r="G11" s="889"/>
      <c r="H11" s="889"/>
      <c r="I11" s="7"/>
    </row>
    <row r="12" spans="1:9" ht="16.5" x14ac:dyDescent="0.25">
      <c r="A12" s="589"/>
      <c r="B12" s="589"/>
      <c r="C12" s="589"/>
      <c r="D12" s="589"/>
      <c r="E12" s="589"/>
      <c r="F12" s="589"/>
      <c r="G12" s="589"/>
      <c r="H12" s="589"/>
      <c r="I12" s="589"/>
    </row>
    <row r="13" spans="1:9" ht="16.5" x14ac:dyDescent="0.25">
      <c r="A13" s="589"/>
      <c r="B13" s="589"/>
      <c r="C13" s="589"/>
      <c r="D13" s="589"/>
      <c r="E13" s="589"/>
      <c r="F13" s="589"/>
      <c r="G13" s="589"/>
      <c r="H13" s="589"/>
      <c r="I13" s="589"/>
    </row>
    <row r="14" spans="1:9" ht="16.5" x14ac:dyDescent="0.25">
      <c r="A14" s="589"/>
      <c r="B14" s="6"/>
      <c r="C14" s="6"/>
      <c r="D14" s="6"/>
      <c r="E14" s="6"/>
      <c r="F14" s="6"/>
      <c r="G14" s="6"/>
      <c r="H14" s="6"/>
      <c r="I14" s="6"/>
    </row>
    <row r="15" spans="1:9" ht="16.5" x14ac:dyDescent="0.25">
      <c r="A15" s="589"/>
      <c r="B15" s="6"/>
      <c r="C15" s="6"/>
      <c r="D15" s="6"/>
      <c r="E15" s="6"/>
      <c r="F15" s="6"/>
      <c r="G15" s="6"/>
      <c r="H15" s="6"/>
      <c r="I15" s="6"/>
    </row>
    <row r="16" spans="1:9" ht="16.5" x14ac:dyDescent="0.25">
      <c r="A16" s="589"/>
      <c r="B16" s="6"/>
      <c r="C16" s="6"/>
      <c r="D16" s="6"/>
      <c r="E16" s="6"/>
      <c r="F16" s="6"/>
      <c r="G16" s="6"/>
      <c r="H16" s="6"/>
      <c r="I16" s="6"/>
    </row>
    <row r="17" spans="1:9" ht="16.5" x14ac:dyDescent="0.25">
      <c r="A17" s="589"/>
      <c r="B17" s="6" t="s">
        <v>534</v>
      </c>
      <c r="C17" s="6"/>
      <c r="D17" s="6"/>
      <c r="E17" s="6"/>
      <c r="F17" s="6"/>
      <c r="G17" s="6"/>
      <c r="H17" s="6"/>
      <c r="I17" s="6"/>
    </row>
    <row r="18" spans="1:9" ht="16.5" x14ac:dyDescent="0.25">
      <c r="A18" s="589"/>
      <c r="B18" s="6"/>
      <c r="C18" s="6"/>
      <c r="D18" s="6"/>
      <c r="E18" s="6"/>
      <c r="F18" s="6"/>
      <c r="G18" s="6"/>
      <c r="H18" s="6"/>
      <c r="I18" s="6"/>
    </row>
    <row r="19" spans="1:9" ht="16.5" x14ac:dyDescent="0.25">
      <c r="A19" s="589"/>
      <c r="B19" s="6"/>
      <c r="C19" s="6"/>
      <c r="D19" s="6"/>
      <c r="E19" s="6"/>
      <c r="F19" s="6"/>
      <c r="G19" s="6"/>
      <c r="H19" s="6"/>
      <c r="I19" s="6"/>
    </row>
    <row r="20" spans="1:9" ht="16.5" x14ac:dyDescent="0.25">
      <c r="A20" s="589"/>
      <c r="B20" s="6"/>
      <c r="C20" s="6"/>
      <c r="D20" s="6"/>
      <c r="E20" s="6"/>
      <c r="F20" s="6"/>
      <c r="G20" s="6"/>
      <c r="H20" s="6"/>
      <c r="I20" s="6"/>
    </row>
    <row r="21" spans="1:9" ht="16.5" x14ac:dyDescent="0.25">
      <c r="A21" s="589"/>
      <c r="B21" s="6"/>
      <c r="C21" s="6"/>
      <c r="D21" s="6"/>
      <c r="E21" s="6"/>
      <c r="F21" s="6"/>
      <c r="G21" s="6"/>
      <c r="H21" s="6"/>
      <c r="I21" s="6"/>
    </row>
    <row r="22" spans="1:9" ht="16.5" x14ac:dyDescent="0.25">
      <c r="A22" s="589"/>
      <c r="B22" s="6"/>
      <c r="C22" s="6"/>
      <c r="D22" s="6"/>
      <c r="E22" s="6"/>
      <c r="F22" s="6"/>
      <c r="G22" s="6"/>
      <c r="H22" s="6"/>
      <c r="I22" s="6"/>
    </row>
    <row r="23" spans="1:9" ht="16.5" x14ac:dyDescent="0.25">
      <c r="A23" s="589"/>
      <c r="B23" s="6"/>
      <c r="C23" s="6"/>
      <c r="D23" s="6"/>
      <c r="E23" s="6"/>
      <c r="F23" s="6"/>
      <c r="G23" s="6"/>
      <c r="H23" s="6"/>
      <c r="I23" s="6"/>
    </row>
    <row r="24" spans="1:9" ht="16.5" x14ac:dyDescent="0.25">
      <c r="A24" s="589"/>
      <c r="B24" s="6"/>
      <c r="C24" s="6"/>
      <c r="D24" s="6"/>
      <c r="E24" s="6"/>
      <c r="F24" s="6"/>
      <c r="G24" s="6"/>
      <c r="H24" s="6"/>
      <c r="I24" s="6"/>
    </row>
    <row r="25" spans="1:9" ht="16.5" x14ac:dyDescent="0.25">
      <c r="A25" s="589"/>
      <c r="B25" s="6"/>
      <c r="C25" s="6"/>
      <c r="D25" s="6"/>
      <c r="E25" s="6"/>
      <c r="F25" s="6"/>
      <c r="G25" s="6"/>
      <c r="H25" s="6"/>
      <c r="I25" s="6"/>
    </row>
    <row r="26" spans="1:9" ht="16.5" x14ac:dyDescent="0.25">
      <c r="A26" s="589"/>
      <c r="B26" s="6"/>
      <c r="C26" s="6"/>
      <c r="D26" s="6"/>
      <c r="E26" s="6"/>
      <c r="F26" s="6"/>
      <c r="G26" s="6"/>
      <c r="H26" s="6"/>
      <c r="I26" s="6"/>
    </row>
    <row r="27" spans="1:9" ht="16.5" x14ac:dyDescent="0.25">
      <c r="A27" s="589"/>
      <c r="B27" s="6"/>
      <c r="C27" s="6"/>
      <c r="D27" s="6"/>
      <c r="E27" s="6"/>
      <c r="F27" s="6"/>
      <c r="G27" s="6"/>
      <c r="H27" s="6"/>
      <c r="I27" s="6"/>
    </row>
    <row r="28" spans="1:9" ht="16.5" x14ac:dyDescent="0.25">
      <c r="A28" s="589"/>
      <c r="B28" s="6"/>
      <c r="C28" s="6"/>
      <c r="D28" s="6"/>
      <c r="E28" s="6"/>
      <c r="F28" s="6"/>
      <c r="G28" s="6"/>
      <c r="H28" s="6"/>
      <c r="I28" s="6"/>
    </row>
    <row r="29" spans="1:9" ht="16.5" x14ac:dyDescent="0.25">
      <c r="A29" s="889" t="s">
        <v>6</v>
      </c>
      <c r="B29" s="889"/>
      <c r="C29" s="889"/>
      <c r="D29" s="889"/>
      <c r="E29" s="889"/>
      <c r="F29" s="889"/>
      <c r="G29" s="889"/>
      <c r="H29" s="889"/>
      <c r="I29" s="7"/>
    </row>
    <row r="30" spans="1:9" ht="16.5" x14ac:dyDescent="0.25">
      <c r="A30" s="889" t="s">
        <v>7</v>
      </c>
      <c r="B30" s="889"/>
      <c r="C30" s="889"/>
      <c r="D30" s="889"/>
      <c r="E30" s="889"/>
      <c r="F30" s="889"/>
      <c r="G30" s="889"/>
      <c r="H30" s="889"/>
      <c r="I30" s="7"/>
    </row>
    <row r="31" spans="1:9" ht="16.5" x14ac:dyDescent="0.25">
      <c r="A31" s="889" t="s">
        <v>565</v>
      </c>
      <c r="B31" s="889"/>
      <c r="C31" s="889"/>
      <c r="D31" s="889"/>
      <c r="E31" s="889"/>
      <c r="F31" s="889"/>
      <c r="G31" s="889"/>
      <c r="H31" s="889"/>
      <c r="I31" s="7"/>
    </row>
    <row r="32" spans="1:9" ht="16.5" x14ac:dyDescent="0.25">
      <c r="A32" s="589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1"/>
      <c r="B33" s="1"/>
      <c r="C33" s="1"/>
      <c r="D33" s="1"/>
      <c r="E33" s="1"/>
      <c r="F33" s="1"/>
      <c r="G33" s="1"/>
      <c r="H33" s="14"/>
      <c r="I33" s="14"/>
    </row>
    <row r="34" spans="1:9" x14ac:dyDescent="0.25">
      <c r="A34" s="1"/>
      <c r="B34" s="1"/>
      <c r="C34" s="1"/>
      <c r="D34" s="1"/>
      <c r="E34" s="1"/>
      <c r="F34" s="1"/>
      <c r="G34" s="1"/>
      <c r="H34" s="14"/>
      <c r="I34" s="14"/>
    </row>
    <row r="35" spans="1:9" x14ac:dyDescent="0.25">
      <c r="A35" s="1"/>
      <c r="B35" s="1"/>
      <c r="C35" s="1"/>
      <c r="D35" s="1"/>
      <c r="E35" s="1"/>
      <c r="F35" s="1"/>
      <c r="G35" s="1"/>
      <c r="H35" s="14"/>
      <c r="I35" s="14"/>
    </row>
    <row r="36" spans="1:9" x14ac:dyDescent="0.25">
      <c r="A36" s="1"/>
      <c r="B36" s="1"/>
      <c r="C36" s="1"/>
      <c r="D36" s="1"/>
      <c r="E36" s="1"/>
      <c r="F36" s="1"/>
      <c r="G36" s="1"/>
      <c r="H36" s="14"/>
      <c r="I36" s="14"/>
    </row>
    <row r="37" spans="1:9" x14ac:dyDescent="0.25">
      <c r="A37" s="1"/>
      <c r="B37" s="1"/>
      <c r="C37" s="1"/>
      <c r="D37" s="1"/>
      <c r="E37" s="1"/>
      <c r="F37" s="1"/>
      <c r="G37" s="1"/>
      <c r="H37" s="14"/>
      <c r="I37" s="14"/>
    </row>
    <row r="38" spans="1:9" x14ac:dyDescent="0.25">
      <c r="A38" s="1"/>
      <c r="B38" s="1"/>
      <c r="C38" s="1"/>
      <c r="D38" s="1"/>
      <c r="E38" s="1"/>
      <c r="F38" s="1"/>
      <c r="G38" s="1"/>
      <c r="H38" s="14"/>
      <c r="I38" s="14"/>
    </row>
    <row r="39" spans="1:9" x14ac:dyDescent="0.25">
      <c r="A39" s="1"/>
      <c r="B39" s="1"/>
      <c r="C39" s="1"/>
      <c r="D39" s="1"/>
      <c r="E39" s="1"/>
      <c r="F39" s="1"/>
      <c r="G39" s="1"/>
      <c r="H39" s="14"/>
      <c r="I39" s="14"/>
    </row>
    <row r="40" spans="1:9" x14ac:dyDescent="0.25">
      <c r="A40" s="1"/>
      <c r="B40" s="1"/>
      <c r="C40" s="1"/>
      <c r="D40" s="1"/>
      <c r="E40" s="1"/>
      <c r="F40" s="1"/>
      <c r="G40" s="1"/>
      <c r="H40" s="14"/>
      <c r="I40" s="14"/>
    </row>
    <row r="41" spans="1:9" x14ac:dyDescent="0.25">
      <c r="A41" s="1"/>
      <c r="B41" s="1"/>
      <c r="C41" s="1"/>
      <c r="D41" s="1"/>
      <c r="E41" s="1"/>
      <c r="F41" s="1"/>
      <c r="G41" s="1"/>
      <c r="H41" s="14"/>
      <c r="I41" s="14"/>
    </row>
    <row r="42" spans="1:9" x14ac:dyDescent="0.25">
      <c r="A42" s="1"/>
      <c r="B42" s="1"/>
      <c r="C42" s="1"/>
      <c r="D42" s="1"/>
      <c r="E42" s="1"/>
      <c r="F42" s="1"/>
      <c r="G42" s="1"/>
      <c r="H42" s="14"/>
      <c r="I42" s="14"/>
    </row>
    <row r="43" spans="1:9" x14ac:dyDescent="0.25">
      <c r="A43" s="1"/>
      <c r="B43" s="1"/>
      <c r="C43" s="1"/>
      <c r="D43" s="1"/>
      <c r="E43" s="1"/>
      <c r="F43" s="1"/>
      <c r="G43" s="1"/>
      <c r="H43" s="14"/>
      <c r="I43" s="14"/>
    </row>
    <row r="44" spans="1:9" x14ac:dyDescent="0.25">
      <c r="A44" s="1"/>
      <c r="B44" s="1"/>
      <c r="C44" s="1"/>
      <c r="D44" s="1"/>
      <c r="E44" s="1"/>
      <c r="F44" s="1"/>
      <c r="G44" s="1"/>
      <c r="H44" s="14"/>
      <c r="I44" s="14"/>
    </row>
    <row r="45" spans="1:9" x14ac:dyDescent="0.25">
      <c r="A45" s="1"/>
      <c r="B45" s="1"/>
      <c r="C45" s="1"/>
      <c r="D45" s="1"/>
      <c r="E45" s="1"/>
      <c r="F45" s="1"/>
      <c r="G45" s="1"/>
      <c r="H45" s="14"/>
      <c r="I45" s="14"/>
    </row>
    <row r="46" spans="1:9" x14ac:dyDescent="0.25">
      <c r="A46" s="1"/>
      <c r="B46" s="1"/>
      <c r="C46" s="1"/>
      <c r="D46" s="1"/>
      <c r="E46" s="1"/>
      <c r="F46" s="1"/>
      <c r="G46" s="1"/>
      <c r="H46" s="14"/>
      <c r="I46" s="14"/>
    </row>
    <row r="47" spans="1:9" x14ac:dyDescent="0.25">
      <c r="A47" s="1"/>
      <c r="B47" s="1"/>
      <c r="C47" s="1"/>
      <c r="D47" s="1"/>
      <c r="E47" s="1"/>
      <c r="F47" s="1"/>
      <c r="G47" s="1"/>
      <c r="H47" s="14"/>
      <c r="I47" s="14"/>
    </row>
    <row r="48" spans="1:9" x14ac:dyDescent="0.25">
      <c r="A48" s="1"/>
      <c r="B48" s="1"/>
      <c r="C48" s="1"/>
      <c r="D48" s="1"/>
      <c r="E48" s="1"/>
      <c r="F48" s="1"/>
      <c r="G48" s="1"/>
      <c r="H48" s="14"/>
      <c r="I48" s="14"/>
    </row>
    <row r="49" spans="1:9" x14ac:dyDescent="0.25">
      <c r="A49" s="1"/>
      <c r="B49" s="1"/>
      <c r="C49" s="1"/>
      <c r="D49" s="1"/>
      <c r="E49" s="1"/>
      <c r="F49" s="1"/>
      <c r="G49" s="1"/>
      <c r="H49" s="14"/>
      <c r="I49" s="14"/>
    </row>
    <row r="50" spans="1:9" ht="16.5" x14ac:dyDescent="0.3">
      <c r="A50" s="890" t="s">
        <v>566</v>
      </c>
      <c r="B50" s="890"/>
      <c r="C50" s="890"/>
      <c r="D50" s="890"/>
      <c r="E50" s="890"/>
      <c r="F50" s="890"/>
      <c r="G50" s="890"/>
      <c r="H50" s="890"/>
      <c r="I50" s="14"/>
    </row>
    <row r="51" spans="1:9" x14ac:dyDescent="0.25">
      <c r="A51" s="14"/>
      <c r="B51" s="14"/>
      <c r="C51" s="14"/>
      <c r="D51" s="14"/>
      <c r="E51" s="14"/>
      <c r="F51" s="14"/>
      <c r="G51" s="14"/>
      <c r="H51" s="14"/>
      <c r="I51" s="14"/>
    </row>
    <row r="52" spans="1:9" x14ac:dyDescent="0.25">
      <c r="A52" s="14"/>
      <c r="B52" s="14"/>
      <c r="C52" s="14"/>
      <c r="D52" s="14"/>
      <c r="E52" s="14"/>
      <c r="F52" s="14"/>
      <c r="G52" s="14"/>
      <c r="H52" s="14"/>
      <c r="I52" s="14"/>
    </row>
    <row r="53" spans="1:9" ht="16.5" x14ac:dyDescent="0.25">
      <c r="A53" s="14"/>
      <c r="B53" s="14"/>
      <c r="C53" s="6"/>
      <c r="D53" s="6"/>
      <c r="E53" s="6"/>
      <c r="F53" s="6"/>
      <c r="G53" s="6"/>
      <c r="H53" s="6"/>
      <c r="I53" s="6"/>
    </row>
    <row r="54" spans="1:9" ht="16.5" x14ac:dyDescent="0.25">
      <c r="A54" s="589"/>
      <c r="B54" s="6"/>
      <c r="C54" s="6"/>
      <c r="D54" s="6"/>
      <c r="E54" s="6"/>
      <c r="F54" s="6"/>
      <c r="G54" s="6"/>
      <c r="H54" s="6"/>
      <c r="I54" s="6"/>
    </row>
    <row r="55" spans="1:9" ht="16.5" x14ac:dyDescent="0.25">
      <c r="A55" s="589"/>
      <c r="B55" s="6"/>
      <c r="C55" s="6"/>
      <c r="D55" s="6"/>
      <c r="E55" s="6"/>
      <c r="F55" s="6"/>
      <c r="G55" s="6"/>
      <c r="H55" s="6"/>
      <c r="I55" s="6"/>
    </row>
    <row r="56" spans="1:9" ht="16.5" x14ac:dyDescent="0.25">
      <c r="A56" s="589"/>
      <c r="B56" s="6"/>
      <c r="C56" s="6"/>
      <c r="D56" s="6"/>
      <c r="E56" s="6"/>
      <c r="F56" s="6"/>
      <c r="G56" s="6"/>
      <c r="H56" s="6"/>
      <c r="I56" s="6"/>
    </row>
    <row r="57" spans="1:9" s="667" customFormat="1" ht="16.5" x14ac:dyDescent="0.25">
      <c r="A57" s="668"/>
      <c r="B57" s="6"/>
      <c r="C57" s="6"/>
      <c r="D57" s="6"/>
      <c r="E57" s="6"/>
      <c r="F57" s="6"/>
      <c r="G57" s="6"/>
      <c r="H57" s="6"/>
      <c r="I57" s="6"/>
    </row>
    <row r="58" spans="1:9" s="667" customFormat="1" ht="16.5" x14ac:dyDescent="0.25">
      <c r="A58" s="668"/>
      <c r="B58" s="6"/>
      <c r="C58" s="6"/>
      <c r="D58" s="6"/>
      <c r="E58" s="6"/>
      <c r="F58" s="6"/>
      <c r="G58" s="6"/>
      <c r="H58" s="6"/>
      <c r="I58" s="6"/>
    </row>
    <row r="59" spans="1:9" s="667" customFormat="1" ht="16.5" x14ac:dyDescent="0.25">
      <c r="A59" s="668"/>
      <c r="B59" s="6"/>
      <c r="C59" s="6"/>
      <c r="D59" s="6"/>
      <c r="E59" s="6"/>
      <c r="F59" s="6"/>
      <c r="G59" s="6"/>
      <c r="H59" s="6"/>
      <c r="I59" s="6"/>
    </row>
    <row r="60" spans="1:9" s="667" customFormat="1" ht="16.5" x14ac:dyDescent="0.25">
      <c r="A60" s="668"/>
      <c r="B60" s="6"/>
      <c r="C60" s="6"/>
      <c r="D60" s="6"/>
      <c r="E60" s="6"/>
      <c r="F60" s="6"/>
      <c r="G60" s="6"/>
      <c r="H60" s="6"/>
      <c r="I60" s="6"/>
    </row>
    <row r="61" spans="1:9" ht="16.5" x14ac:dyDescent="0.25">
      <c r="A61" s="589"/>
      <c r="B61" s="6"/>
      <c r="C61" s="6"/>
      <c r="D61" s="6"/>
      <c r="E61" s="6"/>
      <c r="F61" s="6"/>
      <c r="G61" s="6"/>
      <c r="H61" s="6"/>
      <c r="I61" s="6"/>
    </row>
    <row r="62" spans="1:9" s="667" customFormat="1" ht="16.5" x14ac:dyDescent="0.25">
      <c r="A62" s="668"/>
      <c r="B62" s="6"/>
      <c r="C62" s="6"/>
      <c r="D62" s="6"/>
      <c r="E62" s="6"/>
      <c r="F62" s="6"/>
      <c r="G62" s="6"/>
      <c r="H62" s="6"/>
      <c r="I62" s="6"/>
    </row>
    <row r="63" spans="1:9" s="667" customFormat="1" ht="16.5" x14ac:dyDescent="0.25">
      <c r="A63" s="668"/>
      <c r="B63" s="6"/>
      <c r="C63" s="6"/>
      <c r="D63" s="6"/>
      <c r="E63" s="6"/>
      <c r="F63" s="6"/>
      <c r="G63" s="6"/>
      <c r="H63" s="6"/>
      <c r="I63" s="6"/>
    </row>
    <row r="64" spans="1:9" s="667" customFormat="1" ht="16.5" x14ac:dyDescent="0.25">
      <c r="A64" s="668"/>
      <c r="B64" s="6"/>
      <c r="C64" s="6"/>
      <c r="D64" s="6"/>
      <c r="E64" s="6"/>
      <c r="F64" s="6"/>
      <c r="G64" s="6"/>
      <c r="H64" s="6"/>
      <c r="I64" s="6"/>
    </row>
    <row r="65" spans="1:9" s="667" customFormat="1" ht="16.5" x14ac:dyDescent="0.25">
      <c r="A65" s="668"/>
      <c r="B65" s="6"/>
      <c r="C65" s="6"/>
      <c r="D65" s="6"/>
      <c r="E65" s="6"/>
      <c r="F65" s="6"/>
      <c r="G65" s="6"/>
      <c r="H65" s="6"/>
      <c r="I65" s="6"/>
    </row>
    <row r="66" spans="1:9" ht="16.5" x14ac:dyDescent="0.3">
      <c r="A66" s="2"/>
      <c r="B66" s="797" t="s">
        <v>8</v>
      </c>
      <c r="C66" s="797"/>
      <c r="D66" s="3"/>
      <c r="E66" s="3"/>
      <c r="F66" s="3"/>
      <c r="G66" s="3"/>
      <c r="H66" s="2"/>
      <c r="I66" s="2"/>
    </row>
    <row r="67" spans="1:9" ht="16.5" x14ac:dyDescent="0.3">
      <c r="A67" s="2"/>
      <c r="B67" s="3"/>
      <c r="C67" s="3"/>
      <c r="D67" s="3"/>
      <c r="E67" s="3"/>
      <c r="F67" s="3"/>
      <c r="G67" s="3"/>
      <c r="H67" s="2"/>
      <c r="I67" s="2"/>
    </row>
    <row r="68" spans="1:9" s="17" customFormat="1" ht="16.5" customHeight="1" x14ac:dyDescent="0.2">
      <c r="A68" s="15"/>
      <c r="B68" s="259" t="s">
        <v>9</v>
      </c>
      <c r="C68" s="259"/>
      <c r="D68" s="259"/>
      <c r="E68" s="259"/>
      <c r="F68" s="259"/>
      <c r="G68" s="16" t="s">
        <v>10</v>
      </c>
      <c r="I68" s="15"/>
    </row>
    <row r="69" spans="1:9" s="17" customFormat="1" ht="16.5" customHeight="1" x14ac:dyDescent="0.2">
      <c r="A69" s="16"/>
      <c r="B69" s="556"/>
      <c r="C69" s="556"/>
      <c r="D69" s="556"/>
      <c r="E69" s="556"/>
      <c r="F69" s="556"/>
      <c r="G69" s="556"/>
      <c r="I69" s="556"/>
    </row>
    <row r="70" spans="1:9" s="17" customFormat="1" ht="16.5" customHeight="1" x14ac:dyDescent="0.2">
      <c r="A70" s="18"/>
      <c r="B70" s="541" t="s">
        <v>11</v>
      </c>
      <c r="C70" s="541"/>
      <c r="D70" s="541"/>
      <c r="E70" s="541"/>
      <c r="F70" s="541"/>
      <c r="G70" s="15">
        <v>1</v>
      </c>
      <c r="I70" s="15"/>
    </row>
    <row r="71" spans="1:9" s="17" customFormat="1" ht="16.5" customHeight="1" x14ac:dyDescent="0.2">
      <c r="A71" s="15"/>
      <c r="B71" s="524" t="s">
        <v>567</v>
      </c>
      <c r="C71" s="524"/>
      <c r="D71" s="524"/>
      <c r="E71" s="524"/>
      <c r="F71" s="524"/>
      <c r="G71" s="19" t="s">
        <v>12</v>
      </c>
      <c r="I71" s="20"/>
    </row>
    <row r="72" spans="1:9" s="17" customFormat="1" ht="16.5" customHeight="1" x14ac:dyDescent="0.2">
      <c r="A72" s="15"/>
      <c r="B72" s="524" t="s">
        <v>13</v>
      </c>
      <c r="C72" s="524"/>
      <c r="D72" s="524"/>
      <c r="E72" s="524"/>
      <c r="F72" s="524"/>
      <c r="G72" s="19" t="s">
        <v>14</v>
      </c>
      <c r="I72" s="20"/>
    </row>
    <row r="73" spans="1:9" s="17" customFormat="1" ht="16.5" customHeight="1" x14ac:dyDescent="0.2">
      <c r="A73" s="15"/>
      <c r="B73" s="541" t="s">
        <v>568</v>
      </c>
      <c r="C73" s="541"/>
      <c r="D73" s="541"/>
      <c r="E73" s="541"/>
      <c r="F73" s="541"/>
      <c r="G73" s="19" t="s">
        <v>15</v>
      </c>
      <c r="I73" s="20"/>
    </row>
    <row r="74" spans="1:9" s="17" customFormat="1" ht="16.5" customHeight="1" x14ac:dyDescent="0.2">
      <c r="A74" s="15"/>
      <c r="B74" s="541" t="s">
        <v>569</v>
      </c>
      <c r="C74" s="541"/>
      <c r="D74" s="541"/>
      <c r="E74" s="541"/>
      <c r="F74" s="541"/>
      <c r="G74" s="19" t="s">
        <v>484</v>
      </c>
      <c r="I74" s="20"/>
    </row>
    <row r="75" spans="1:9" s="17" customFormat="1" ht="16.5" customHeight="1" x14ac:dyDescent="0.2">
      <c r="A75" s="15"/>
      <c r="B75" s="541" t="s">
        <v>16</v>
      </c>
      <c r="C75" s="541"/>
      <c r="D75" s="541"/>
      <c r="E75" s="541"/>
      <c r="F75" s="541"/>
      <c r="G75" s="19" t="s">
        <v>485</v>
      </c>
      <c r="I75" s="20"/>
    </row>
    <row r="76" spans="1:9" s="17" customFormat="1" ht="16.5" customHeight="1" x14ac:dyDescent="0.2">
      <c r="A76" s="15"/>
      <c r="B76" s="541" t="s">
        <v>17</v>
      </c>
      <c r="C76" s="541"/>
      <c r="D76" s="541"/>
      <c r="E76" s="541"/>
      <c r="F76" s="541"/>
      <c r="G76" s="19" t="s">
        <v>486</v>
      </c>
      <c r="I76" s="20"/>
    </row>
    <row r="77" spans="1:9" s="17" customFormat="1" ht="16.5" customHeight="1" x14ac:dyDescent="0.2">
      <c r="A77" s="15"/>
      <c r="B77" s="541" t="s">
        <v>18</v>
      </c>
      <c r="C77" s="541"/>
      <c r="D77" s="541"/>
      <c r="E77" s="541"/>
      <c r="F77" s="541"/>
      <c r="G77" s="19" t="s">
        <v>19</v>
      </c>
      <c r="I77" s="20"/>
    </row>
    <row r="78" spans="1:9" s="17" customFormat="1" ht="16.5" customHeight="1" x14ac:dyDescent="0.2">
      <c r="A78" s="15"/>
      <c r="B78" s="541" t="s">
        <v>20</v>
      </c>
      <c r="C78" s="541"/>
      <c r="D78" s="541"/>
      <c r="E78" s="541"/>
      <c r="F78" s="541"/>
      <c r="G78" s="19" t="s">
        <v>19</v>
      </c>
      <c r="I78" s="20"/>
    </row>
    <row r="79" spans="1:9" s="17" customFormat="1" ht="16.5" customHeight="1" x14ac:dyDescent="0.2">
      <c r="A79" s="15"/>
      <c r="B79" s="541" t="s">
        <v>21</v>
      </c>
      <c r="C79" s="541"/>
      <c r="D79" s="541"/>
      <c r="E79" s="541"/>
      <c r="F79" s="541"/>
      <c r="G79" s="19" t="s">
        <v>487</v>
      </c>
      <c r="I79" s="20"/>
    </row>
    <row r="80" spans="1:9" s="17" customFormat="1" ht="16.5" customHeight="1" x14ac:dyDescent="0.2">
      <c r="A80" s="15"/>
      <c r="B80" s="541" t="s">
        <v>22</v>
      </c>
      <c r="C80" s="541"/>
      <c r="D80" s="541"/>
      <c r="E80" s="541"/>
      <c r="F80" s="541"/>
      <c r="G80" s="19" t="s">
        <v>24</v>
      </c>
      <c r="I80" s="20"/>
    </row>
    <row r="81" spans="1:9" s="17" customFormat="1" ht="16.5" customHeight="1" x14ac:dyDescent="0.2">
      <c r="A81" s="15"/>
      <c r="B81" s="541" t="s">
        <v>23</v>
      </c>
      <c r="C81" s="541"/>
      <c r="D81" s="541"/>
      <c r="E81" s="541"/>
      <c r="F81" s="541"/>
      <c r="G81" s="19" t="s">
        <v>24</v>
      </c>
      <c r="I81" s="20"/>
    </row>
    <row r="82" spans="1:9" s="17" customFormat="1" ht="16.5" customHeight="1" x14ac:dyDescent="0.2">
      <c r="A82" s="15"/>
      <c r="B82" s="541" t="s">
        <v>25</v>
      </c>
      <c r="C82" s="541"/>
      <c r="D82" s="541"/>
      <c r="E82" s="541"/>
      <c r="F82" s="541"/>
      <c r="G82" s="19" t="s">
        <v>467</v>
      </c>
      <c r="I82" s="20"/>
    </row>
    <row r="83" spans="1:9" s="17" customFormat="1" ht="16.5" customHeight="1" x14ac:dyDescent="0.2">
      <c r="A83" s="15"/>
      <c r="B83" s="541" t="s">
        <v>26</v>
      </c>
      <c r="C83" s="541"/>
      <c r="D83" s="541"/>
      <c r="E83" s="541"/>
      <c r="F83" s="541"/>
      <c r="G83" s="19" t="s">
        <v>468</v>
      </c>
      <c r="I83" s="20"/>
    </row>
    <row r="84" spans="1:9" s="17" customFormat="1" ht="16.5" customHeight="1" x14ac:dyDescent="0.2">
      <c r="A84" s="15"/>
      <c r="B84" s="541" t="s">
        <v>27</v>
      </c>
      <c r="C84" s="541"/>
      <c r="D84" s="541"/>
      <c r="E84" s="541"/>
      <c r="F84" s="541"/>
      <c r="G84" s="19" t="s">
        <v>488</v>
      </c>
      <c r="I84" s="20"/>
    </row>
    <row r="85" spans="1:9" s="17" customFormat="1" ht="16.5" customHeight="1" x14ac:dyDescent="0.2">
      <c r="A85" s="15"/>
      <c r="B85" s="541" t="s">
        <v>28</v>
      </c>
      <c r="C85" s="541"/>
      <c r="D85" s="541"/>
      <c r="E85" s="541"/>
      <c r="F85" s="541"/>
      <c r="G85" s="19" t="s">
        <v>489</v>
      </c>
      <c r="I85" s="20"/>
    </row>
    <row r="86" spans="1:9" s="17" customFormat="1" ht="16.5" customHeight="1" x14ac:dyDescent="0.2">
      <c r="A86" s="15"/>
      <c r="B86" s="541" t="s">
        <v>29</v>
      </c>
      <c r="C86" s="541"/>
      <c r="D86" s="541"/>
      <c r="E86" s="541"/>
      <c r="F86" s="541"/>
      <c r="G86" s="19" t="s">
        <v>469</v>
      </c>
      <c r="I86" s="20"/>
    </row>
    <row r="87" spans="1:9" s="17" customFormat="1" ht="16.5" customHeight="1" x14ac:dyDescent="0.2">
      <c r="A87" s="15"/>
      <c r="B87" s="541" t="s">
        <v>30</v>
      </c>
      <c r="C87" s="541"/>
      <c r="D87" s="541"/>
      <c r="E87" s="541"/>
      <c r="F87" s="541"/>
      <c r="G87" s="19" t="s">
        <v>490</v>
      </c>
      <c r="I87" s="20"/>
    </row>
    <row r="88" spans="1:9" s="17" customFormat="1" ht="16.5" customHeight="1" x14ac:dyDescent="0.2">
      <c r="A88" s="15"/>
      <c r="B88" s="541" t="s">
        <v>31</v>
      </c>
      <c r="C88" s="541"/>
      <c r="D88" s="541"/>
      <c r="E88" s="541"/>
      <c r="F88" s="541"/>
      <c r="G88" s="19" t="s">
        <v>491</v>
      </c>
      <c r="I88" s="20"/>
    </row>
    <row r="89" spans="1:9" s="17" customFormat="1" ht="16.5" customHeight="1" x14ac:dyDescent="0.2">
      <c r="A89" s="15"/>
      <c r="B89" s="541" t="s">
        <v>32</v>
      </c>
      <c r="C89" s="541"/>
      <c r="D89" s="541"/>
      <c r="E89" s="541"/>
      <c r="F89" s="541"/>
      <c r="G89" s="19" t="s">
        <v>34</v>
      </c>
      <c r="I89" s="20"/>
    </row>
    <row r="90" spans="1:9" s="17" customFormat="1" ht="16.5" customHeight="1" x14ac:dyDescent="0.2">
      <c r="A90" s="15"/>
      <c r="B90" s="541" t="s">
        <v>33</v>
      </c>
      <c r="C90" s="541"/>
      <c r="D90" s="541"/>
      <c r="E90" s="541"/>
      <c r="F90" s="541"/>
      <c r="G90" s="19" t="s">
        <v>37</v>
      </c>
      <c r="I90" s="20"/>
    </row>
    <row r="91" spans="1:9" s="17" customFormat="1" ht="16.5" customHeight="1" x14ac:dyDescent="0.2">
      <c r="A91" s="15"/>
      <c r="B91" s="541" t="s">
        <v>35</v>
      </c>
      <c r="C91" s="541"/>
      <c r="D91" s="541"/>
      <c r="E91" s="541"/>
      <c r="F91" s="541"/>
      <c r="G91" s="19" t="s">
        <v>39</v>
      </c>
      <c r="I91" s="20"/>
    </row>
    <row r="92" spans="1:9" s="17" customFormat="1" ht="16.5" customHeight="1" x14ac:dyDescent="0.2">
      <c r="A92" s="15"/>
      <c r="B92" s="541" t="s">
        <v>36</v>
      </c>
      <c r="C92" s="541"/>
      <c r="D92" s="541"/>
      <c r="E92" s="541"/>
      <c r="F92" s="541"/>
      <c r="G92" s="19" t="s">
        <v>492</v>
      </c>
      <c r="I92" s="20"/>
    </row>
    <row r="93" spans="1:9" s="17" customFormat="1" ht="16.5" customHeight="1" x14ac:dyDescent="0.2">
      <c r="A93" s="15"/>
      <c r="B93" s="541" t="s">
        <v>38</v>
      </c>
      <c r="C93" s="541"/>
      <c r="D93" s="541"/>
      <c r="E93" s="541"/>
      <c r="F93" s="541"/>
      <c r="G93" s="19" t="s">
        <v>42</v>
      </c>
      <c r="I93" s="20"/>
    </row>
    <row r="94" spans="1:9" s="17" customFormat="1" ht="16.5" customHeight="1" x14ac:dyDescent="0.2">
      <c r="A94" s="15"/>
      <c r="B94" s="188" t="s">
        <v>379</v>
      </c>
      <c r="C94" s="322"/>
      <c r="D94" s="541"/>
      <c r="E94" s="541"/>
      <c r="F94" s="541"/>
      <c r="G94" s="19" t="s">
        <v>493</v>
      </c>
      <c r="I94" s="20"/>
    </row>
    <row r="95" spans="1:9" s="17" customFormat="1" ht="16.5" customHeight="1" x14ac:dyDescent="0.2">
      <c r="A95" s="15"/>
      <c r="B95" s="539" t="s">
        <v>380</v>
      </c>
      <c r="C95" s="322"/>
      <c r="D95" s="541"/>
      <c r="E95" s="541"/>
      <c r="F95" s="541"/>
      <c r="G95" s="19" t="s">
        <v>470</v>
      </c>
      <c r="I95" s="20"/>
    </row>
    <row r="96" spans="1:9" s="17" customFormat="1" ht="16.5" customHeight="1" x14ac:dyDescent="0.2">
      <c r="A96" s="15"/>
      <c r="B96" s="541" t="s">
        <v>41</v>
      </c>
      <c r="C96" s="541"/>
      <c r="D96" s="541"/>
      <c r="E96" s="541"/>
      <c r="F96" s="541"/>
      <c r="G96" s="19" t="s">
        <v>46</v>
      </c>
      <c r="I96" s="20"/>
    </row>
    <row r="97" spans="1:9" s="17" customFormat="1" ht="16.5" customHeight="1" x14ac:dyDescent="0.2">
      <c r="A97" s="15"/>
      <c r="B97" s="524" t="s">
        <v>43</v>
      </c>
      <c r="C97" s="524"/>
      <c r="D97" s="524"/>
      <c r="E97" s="524"/>
      <c r="F97" s="524"/>
      <c r="G97" s="19" t="s">
        <v>494</v>
      </c>
      <c r="I97" s="20"/>
    </row>
    <row r="98" spans="1:9" s="17" customFormat="1" ht="16.5" customHeight="1" x14ac:dyDescent="0.2">
      <c r="A98" s="15"/>
      <c r="B98" s="524" t="s">
        <v>44</v>
      </c>
      <c r="C98" s="524"/>
      <c r="D98" s="524"/>
      <c r="E98" s="524"/>
      <c r="F98" s="524"/>
      <c r="G98" s="19" t="s">
        <v>471</v>
      </c>
      <c r="I98" s="20"/>
    </row>
    <row r="99" spans="1:9" s="17" customFormat="1" ht="16.5" customHeight="1" x14ac:dyDescent="0.2">
      <c r="A99" s="15"/>
      <c r="B99" s="524" t="s">
        <v>45</v>
      </c>
      <c r="C99" s="524"/>
      <c r="D99" s="524"/>
      <c r="E99" s="524"/>
      <c r="F99" s="524"/>
      <c r="G99" s="19" t="s">
        <v>472</v>
      </c>
      <c r="I99" s="20"/>
    </row>
    <row r="100" spans="1:9" s="17" customFormat="1" ht="16.5" customHeight="1" x14ac:dyDescent="0.2">
      <c r="A100" s="15"/>
      <c r="I100" s="20"/>
    </row>
    <row r="101" spans="1:9" s="17" customFormat="1" ht="16.5" customHeight="1" x14ac:dyDescent="0.2">
      <c r="A101" s="15"/>
      <c r="I101" s="20"/>
    </row>
    <row r="102" spans="1:9" s="17" customFormat="1" ht="16.5" customHeight="1" x14ac:dyDescent="0.2">
      <c r="A102" s="15"/>
      <c r="I102" s="20"/>
    </row>
    <row r="103" spans="1:9" s="17" customFormat="1" ht="16.5" customHeight="1" x14ac:dyDescent="0.2">
      <c r="A103" s="15"/>
      <c r="I103" s="20"/>
    </row>
    <row r="104" spans="1:9" s="17" customFormat="1" ht="16.5" customHeight="1" x14ac:dyDescent="0.2">
      <c r="A104" s="15"/>
      <c r="I104" s="20"/>
    </row>
    <row r="105" spans="1:9" s="17" customFormat="1" ht="16.5" customHeight="1" x14ac:dyDescent="0.2">
      <c r="A105" s="15"/>
      <c r="I105" s="20"/>
    </row>
    <row r="106" spans="1:9" s="17" customFormat="1" ht="16.5" customHeight="1" x14ac:dyDescent="0.2">
      <c r="A106" s="15"/>
      <c r="I106" s="20"/>
    </row>
    <row r="107" spans="1:9" s="17" customFormat="1" ht="16.5" customHeight="1" x14ac:dyDescent="0.2">
      <c r="A107" s="15"/>
      <c r="I107" s="20"/>
    </row>
    <row r="108" spans="1:9" s="17" customFormat="1" ht="16.5" customHeight="1" x14ac:dyDescent="0.2">
      <c r="A108" s="15"/>
      <c r="I108" s="20"/>
    </row>
    <row r="109" spans="1:9" s="17" customFormat="1" ht="16.5" customHeight="1" x14ac:dyDescent="0.2">
      <c r="A109" s="15"/>
      <c r="B109" s="524"/>
      <c r="C109" s="524"/>
      <c r="D109" s="524"/>
      <c r="E109" s="524"/>
      <c r="F109" s="524"/>
      <c r="G109" s="19"/>
      <c r="H109" s="20"/>
      <c r="I109" s="20"/>
    </row>
    <row r="110" spans="1:9" s="17" customFormat="1" ht="16.5" customHeight="1" x14ac:dyDescent="0.2">
      <c r="A110" s="15"/>
      <c r="B110" s="524"/>
      <c r="C110" s="524"/>
      <c r="D110" s="524"/>
      <c r="E110" s="524"/>
      <c r="F110" s="524"/>
      <c r="G110" s="19"/>
      <c r="H110" s="20"/>
      <c r="I110" s="20"/>
    </row>
    <row r="111" spans="1:9" s="17" customFormat="1" ht="16.5" customHeight="1" x14ac:dyDescent="0.2">
      <c r="A111" s="15"/>
      <c r="B111" s="524"/>
      <c r="C111" s="524"/>
      <c r="D111" s="524"/>
      <c r="E111" s="524"/>
      <c r="F111" s="524"/>
      <c r="G111" s="19"/>
      <c r="H111" s="20"/>
      <c r="I111" s="20"/>
    </row>
    <row r="112" spans="1:9" s="17" customFormat="1" ht="16.5" customHeight="1" x14ac:dyDescent="0.2">
      <c r="A112" s="15"/>
      <c r="B112" s="524"/>
      <c r="C112" s="524"/>
      <c r="D112" s="524"/>
      <c r="E112" s="524"/>
      <c r="F112" s="524"/>
      <c r="G112" s="19"/>
      <c r="H112" s="20"/>
      <c r="I112" s="20"/>
    </row>
    <row r="113" spans="1:9" s="17" customFormat="1" ht="16.5" customHeight="1" x14ac:dyDescent="0.2">
      <c r="A113" s="15"/>
      <c r="B113" s="524"/>
      <c r="C113" s="524"/>
      <c r="D113" s="524"/>
      <c r="E113" s="524"/>
      <c r="F113" s="524"/>
      <c r="G113" s="19"/>
      <c r="H113" s="20"/>
      <c r="I113" s="20"/>
    </row>
    <row r="114" spans="1:9" s="17" customFormat="1" ht="16.5" customHeight="1" x14ac:dyDescent="0.2">
      <c r="A114" s="15"/>
      <c r="B114" s="524"/>
      <c r="C114" s="524"/>
      <c r="D114" s="524"/>
      <c r="E114" s="524"/>
      <c r="F114" s="524"/>
      <c r="G114" s="19"/>
      <c r="H114" s="20"/>
      <c r="I114" s="20"/>
    </row>
    <row r="115" spans="1:9" s="17" customFormat="1" ht="16.5" customHeight="1" x14ac:dyDescent="0.2">
      <c r="A115" s="15"/>
      <c r="B115" s="524"/>
      <c r="C115" s="524"/>
      <c r="D115" s="524"/>
      <c r="E115" s="524"/>
      <c r="F115" s="524"/>
      <c r="G115" s="19"/>
      <c r="H115" s="20"/>
      <c r="I115" s="20"/>
    </row>
    <row r="116" spans="1:9" s="17" customFormat="1" ht="16.5" customHeight="1" x14ac:dyDescent="0.2">
      <c r="A116" s="15"/>
      <c r="B116" s="524"/>
      <c r="C116" s="524"/>
      <c r="D116" s="524"/>
      <c r="E116" s="524"/>
      <c r="F116" s="524"/>
      <c r="G116" s="19"/>
      <c r="H116" s="20"/>
      <c r="I116" s="20"/>
    </row>
    <row r="117" spans="1:9" s="17" customFormat="1" ht="16.5" customHeight="1" x14ac:dyDescent="0.2">
      <c r="A117" s="15"/>
      <c r="B117" s="524"/>
      <c r="C117" s="524"/>
      <c r="D117" s="524"/>
      <c r="E117" s="524"/>
      <c r="F117" s="524"/>
      <c r="G117" s="19"/>
      <c r="H117" s="20"/>
      <c r="I117" s="20"/>
    </row>
    <row r="118" spans="1:9" s="17" customFormat="1" ht="16.5" customHeight="1" x14ac:dyDescent="0.2">
      <c r="A118" s="15"/>
      <c r="B118" s="524"/>
      <c r="C118" s="524"/>
      <c r="D118" s="524"/>
      <c r="E118" s="524"/>
      <c r="F118" s="524"/>
      <c r="G118" s="19"/>
      <c r="H118" s="20"/>
      <c r="I118" s="20"/>
    </row>
    <row r="119" spans="1:9" s="17" customFormat="1" ht="16.5" customHeight="1" x14ac:dyDescent="0.2">
      <c r="A119" s="15"/>
      <c r="B119" s="524"/>
      <c r="C119" s="524"/>
      <c r="D119" s="524"/>
      <c r="E119" s="524"/>
      <c r="F119" s="524"/>
      <c r="G119" s="19"/>
      <c r="I119" s="20"/>
    </row>
    <row r="120" spans="1:9" s="17" customFormat="1" ht="16.5" customHeight="1" x14ac:dyDescent="0.2">
      <c r="A120" s="15"/>
      <c r="B120" s="524"/>
      <c r="C120" s="524"/>
      <c r="D120" s="524"/>
      <c r="E120" s="524"/>
      <c r="F120" s="524"/>
      <c r="G120" s="19"/>
      <c r="H120" s="20"/>
      <c r="I120" s="259">
        <v>1</v>
      </c>
    </row>
    <row r="121" spans="1:9" s="17" customFormat="1" ht="16.5" customHeight="1" x14ac:dyDescent="0.2">
      <c r="A121" s="15"/>
      <c r="B121" s="661"/>
      <c r="C121" s="661"/>
      <c r="D121" s="661"/>
      <c r="E121" s="661"/>
      <c r="F121" s="661"/>
      <c r="G121" s="19"/>
      <c r="H121" s="20"/>
      <c r="I121" s="259"/>
    </row>
    <row r="122" spans="1:9" s="17" customFormat="1" ht="16.5" customHeight="1" x14ac:dyDescent="0.2">
      <c r="A122" s="15"/>
      <c r="B122" s="661"/>
      <c r="C122" s="661"/>
      <c r="D122" s="661"/>
      <c r="E122" s="661"/>
      <c r="F122" s="661"/>
      <c r="G122" s="19"/>
      <c r="H122" s="20"/>
      <c r="I122" s="259"/>
    </row>
    <row r="123" spans="1:9" s="17" customFormat="1" ht="16.5" customHeight="1" x14ac:dyDescent="0.2">
      <c r="A123" s="15"/>
      <c r="B123" s="661"/>
      <c r="C123" s="661"/>
      <c r="D123" s="661"/>
      <c r="E123" s="661"/>
      <c r="F123" s="661"/>
      <c r="G123" s="19"/>
      <c r="H123" s="20"/>
      <c r="I123" s="259"/>
    </row>
    <row r="124" spans="1:9" s="17" customFormat="1" ht="16.5" customHeight="1" x14ac:dyDescent="0.2">
      <c r="A124" s="15"/>
      <c r="B124" s="661"/>
      <c r="C124" s="661"/>
      <c r="D124" s="661"/>
      <c r="E124" s="661"/>
      <c r="F124" s="661"/>
      <c r="G124" s="19"/>
      <c r="H124" s="20"/>
      <c r="I124" s="259"/>
    </row>
    <row r="125" spans="1:9" s="17" customFormat="1" ht="16.5" customHeight="1" x14ac:dyDescent="0.3">
      <c r="A125" s="888" t="s">
        <v>570</v>
      </c>
      <c r="B125" s="888"/>
      <c r="C125" s="888"/>
      <c r="D125" s="888"/>
      <c r="E125" s="888"/>
      <c r="F125" s="888"/>
      <c r="G125" s="888"/>
      <c r="H125" s="888"/>
      <c r="I125" s="888"/>
    </row>
    <row r="126" spans="1:9" s="17" customFormat="1" ht="16.5" customHeight="1" x14ac:dyDescent="0.2">
      <c r="A126" s="15"/>
      <c r="B126" s="524"/>
      <c r="C126" s="524"/>
      <c r="D126" s="524"/>
      <c r="E126" s="524"/>
      <c r="F126" s="524"/>
      <c r="G126" s="19"/>
      <c r="H126" s="20"/>
      <c r="I126" s="20"/>
    </row>
    <row r="127" spans="1:9" s="17" customFormat="1" ht="16.5" customHeight="1" x14ac:dyDescent="0.2">
      <c r="A127" s="541"/>
      <c r="B127" s="720" t="s">
        <v>381</v>
      </c>
      <c r="C127" s="720"/>
      <c r="D127" s="720"/>
      <c r="E127" s="720"/>
      <c r="F127" s="720"/>
      <c r="G127" s="720"/>
      <c r="H127" s="720"/>
      <c r="I127" s="720"/>
    </row>
    <row r="128" spans="1:9" s="17" customFormat="1" ht="16.5" customHeight="1" x14ac:dyDescent="0.2">
      <c r="A128" s="720" t="s">
        <v>383</v>
      </c>
      <c r="B128" s="720"/>
      <c r="C128" s="720"/>
      <c r="D128" s="720"/>
      <c r="E128" s="720"/>
      <c r="F128" s="720"/>
      <c r="G128" s="720"/>
      <c r="H128" s="720"/>
      <c r="I128" s="720"/>
    </row>
    <row r="129" spans="1:9" s="17" customFormat="1" ht="16.5" customHeight="1" x14ac:dyDescent="0.2">
      <c r="A129" s="720" t="s">
        <v>382</v>
      </c>
      <c r="B129" s="720"/>
      <c r="C129" s="720"/>
      <c r="D129" s="720"/>
      <c r="E129" s="720"/>
      <c r="F129" s="720"/>
      <c r="G129" s="720"/>
      <c r="H129" s="720"/>
      <c r="I129" s="720"/>
    </row>
    <row r="130" spans="1:9" s="17" customFormat="1" ht="16.5" customHeight="1" x14ac:dyDescent="0.2">
      <c r="A130" s="720" t="s">
        <v>384</v>
      </c>
      <c r="B130" s="720"/>
      <c r="C130" s="720"/>
      <c r="D130" s="720"/>
      <c r="E130" s="720"/>
      <c r="F130" s="720"/>
      <c r="G130" s="720"/>
      <c r="H130" s="720"/>
      <c r="I130" s="720"/>
    </row>
    <row r="131" spans="1:9" s="17" customFormat="1" ht="16.5" customHeight="1" x14ac:dyDescent="0.2">
      <c r="A131" s="720" t="s">
        <v>385</v>
      </c>
      <c r="B131" s="720"/>
      <c r="C131" s="720"/>
      <c r="D131" s="720"/>
      <c r="E131" s="720"/>
      <c r="F131" s="720"/>
      <c r="G131" s="720"/>
      <c r="H131" s="720"/>
      <c r="I131" s="720"/>
    </row>
    <row r="132" spans="1:9" s="17" customFormat="1" ht="16.5" customHeight="1" x14ac:dyDescent="0.2">
      <c r="A132" s="720" t="s">
        <v>394</v>
      </c>
      <c r="B132" s="720"/>
      <c r="C132" s="720"/>
      <c r="D132" s="720"/>
      <c r="E132" s="720"/>
      <c r="F132" s="720"/>
      <c r="G132" s="720"/>
      <c r="H132" s="720"/>
      <c r="I132" s="720"/>
    </row>
    <row r="133" spans="1:9" s="17" customFormat="1" ht="16.5" customHeight="1" x14ac:dyDescent="0.2">
      <c r="A133" s="720" t="s">
        <v>395</v>
      </c>
      <c r="B133" s="720"/>
      <c r="C133" s="720"/>
      <c r="D133" s="720"/>
      <c r="E133" s="720"/>
      <c r="F133" s="720"/>
      <c r="G133" s="720"/>
      <c r="H133" s="720"/>
      <c r="I133" s="720"/>
    </row>
    <row r="134" spans="1:9" s="17" customFormat="1" ht="16.5" customHeight="1" x14ac:dyDescent="0.2">
      <c r="A134" s="541" t="s">
        <v>571</v>
      </c>
      <c r="B134" s="541"/>
      <c r="C134" s="541"/>
      <c r="D134" s="541"/>
      <c r="E134" s="541"/>
      <c r="F134" s="541"/>
      <c r="G134" s="541"/>
      <c r="H134" s="541"/>
      <c r="I134" s="541"/>
    </row>
    <row r="135" spans="1:9" s="17" customFormat="1" ht="16.5" customHeight="1" x14ac:dyDescent="0.2">
      <c r="A135" s="755" t="s">
        <v>396</v>
      </c>
      <c r="B135" s="755"/>
      <c r="C135" s="755"/>
      <c r="D135" s="755"/>
      <c r="E135" s="755"/>
      <c r="F135" s="755"/>
      <c r="G135" s="755"/>
      <c r="H135" s="755"/>
      <c r="I135" s="755"/>
    </row>
    <row r="136" spans="1:9" s="17" customFormat="1" ht="16.5" customHeight="1" x14ac:dyDescent="0.2">
      <c r="A136" s="541"/>
      <c r="B136" s="541"/>
      <c r="C136" s="541"/>
      <c r="D136" s="541"/>
      <c r="E136" s="541"/>
      <c r="F136" s="541"/>
      <c r="G136" s="541"/>
      <c r="H136" s="541"/>
      <c r="I136" s="541"/>
    </row>
    <row r="137" spans="1:9" s="17" customFormat="1" ht="16.5" customHeight="1" x14ac:dyDescent="0.2">
      <c r="A137" s="541"/>
      <c r="B137" s="541"/>
      <c r="C137" s="541"/>
      <c r="D137" s="541"/>
      <c r="E137" s="541"/>
      <c r="F137" s="541"/>
      <c r="G137" s="541"/>
      <c r="H137" s="541"/>
      <c r="I137" s="541"/>
    </row>
    <row r="138" spans="1:9" s="17" customFormat="1" ht="16.5" customHeight="1" x14ac:dyDescent="0.2">
      <c r="A138" s="541"/>
      <c r="B138" s="541"/>
      <c r="C138" s="541"/>
      <c r="D138" s="541"/>
      <c r="E138" s="541"/>
      <c r="F138" s="541"/>
      <c r="G138" s="541"/>
      <c r="H138" s="541"/>
      <c r="I138" s="541"/>
    </row>
    <row r="139" spans="1:9" s="17" customFormat="1" ht="16.5" customHeight="1" x14ac:dyDescent="0.2">
      <c r="A139" s="541"/>
      <c r="B139" s="541"/>
      <c r="C139" s="541"/>
      <c r="D139" s="541"/>
      <c r="E139" s="541"/>
      <c r="F139" s="541"/>
      <c r="G139" s="541"/>
      <c r="H139" s="541"/>
      <c r="I139" s="541"/>
    </row>
    <row r="140" spans="1:9" s="17" customFormat="1" ht="16.5" customHeight="1" x14ac:dyDescent="0.2">
      <c r="A140" s="541"/>
      <c r="B140" s="541"/>
      <c r="C140" s="541"/>
      <c r="D140" s="541"/>
      <c r="E140" s="541"/>
      <c r="F140" s="541"/>
      <c r="G140" s="541"/>
      <c r="H140" s="541"/>
      <c r="I140" s="541"/>
    </row>
    <row r="141" spans="1:9" s="17" customFormat="1" ht="16.5" customHeight="1" x14ac:dyDescent="0.2">
      <c r="A141" s="541"/>
      <c r="B141" s="541"/>
      <c r="C141" s="541"/>
      <c r="D141" s="541"/>
      <c r="E141" s="541"/>
      <c r="F141" s="541"/>
      <c r="G141" s="541"/>
      <c r="H141" s="541"/>
      <c r="I141" s="541"/>
    </row>
    <row r="142" spans="1:9" s="17" customFormat="1" ht="16.5" customHeight="1" x14ac:dyDescent="0.2">
      <c r="A142" s="541"/>
      <c r="B142" s="541"/>
      <c r="C142" s="541"/>
      <c r="D142" s="541"/>
      <c r="E142" s="541"/>
      <c r="F142" s="541"/>
      <c r="G142" s="541"/>
      <c r="H142" s="541"/>
      <c r="I142" s="541"/>
    </row>
    <row r="143" spans="1:9" s="17" customFormat="1" ht="16.5" customHeight="1" x14ac:dyDescent="0.2">
      <c r="A143" s="541"/>
      <c r="B143" s="541"/>
      <c r="C143" s="541"/>
      <c r="D143" s="541"/>
      <c r="E143" s="541"/>
      <c r="F143" s="541"/>
      <c r="G143" s="541"/>
      <c r="H143" s="541"/>
      <c r="I143" s="541"/>
    </row>
    <row r="144" spans="1:9" s="17" customFormat="1" ht="16.5" customHeight="1" x14ac:dyDescent="0.2">
      <c r="A144" s="541"/>
      <c r="B144" s="541"/>
      <c r="C144" s="541"/>
      <c r="D144" s="541"/>
      <c r="E144" s="541"/>
      <c r="F144" s="541"/>
      <c r="G144" s="541"/>
      <c r="H144" s="541"/>
      <c r="I144" s="541"/>
    </row>
    <row r="145" spans="1:9" s="17" customFormat="1" ht="16.5" customHeight="1" x14ac:dyDescent="0.2">
      <c r="A145" s="541"/>
      <c r="B145" s="541"/>
      <c r="C145" s="541"/>
      <c r="D145" s="541"/>
      <c r="E145" s="541"/>
      <c r="F145" s="541"/>
      <c r="G145" s="541"/>
      <c r="H145" s="541"/>
      <c r="I145" s="541"/>
    </row>
    <row r="146" spans="1:9" s="17" customFormat="1" ht="16.5" customHeight="1" x14ac:dyDescent="0.2">
      <c r="A146" s="541"/>
      <c r="B146" s="541"/>
      <c r="C146" s="541"/>
      <c r="D146" s="541"/>
      <c r="E146" s="541"/>
      <c r="F146" s="541"/>
      <c r="G146" s="541"/>
      <c r="H146" s="541"/>
      <c r="I146" s="541"/>
    </row>
    <row r="147" spans="1:9" s="17" customFormat="1" ht="16.5" customHeight="1" x14ac:dyDescent="0.2">
      <c r="A147" s="541"/>
      <c r="B147" s="541"/>
      <c r="C147" s="541"/>
      <c r="D147" s="541"/>
      <c r="E147" s="541"/>
      <c r="F147" s="541"/>
      <c r="G147" s="541"/>
      <c r="H147" s="541"/>
      <c r="I147" s="541"/>
    </row>
    <row r="148" spans="1:9" s="17" customFormat="1" ht="16.5" customHeight="1" x14ac:dyDescent="0.2">
      <c r="A148" s="541"/>
      <c r="B148" s="541"/>
      <c r="C148" s="541"/>
      <c r="D148" s="541"/>
      <c r="E148" s="541"/>
      <c r="F148" s="541"/>
      <c r="G148" s="541"/>
      <c r="H148" s="541"/>
      <c r="I148" s="541"/>
    </row>
    <row r="149" spans="1:9" s="17" customFormat="1" ht="16.5" customHeight="1" x14ac:dyDescent="0.2">
      <c r="A149" s="541"/>
      <c r="B149" s="541"/>
      <c r="C149" s="541"/>
      <c r="D149" s="541"/>
      <c r="E149" s="541"/>
      <c r="F149" s="541"/>
      <c r="G149" s="541"/>
      <c r="H149" s="541"/>
      <c r="I149" s="541"/>
    </row>
    <row r="150" spans="1:9" s="17" customFormat="1" ht="16.5" customHeight="1" x14ac:dyDescent="0.2">
      <c r="A150" s="541"/>
      <c r="B150" s="541"/>
      <c r="C150" s="541"/>
      <c r="D150" s="541"/>
      <c r="E150" s="541"/>
      <c r="F150" s="541"/>
      <c r="G150" s="541"/>
      <c r="H150" s="541"/>
      <c r="I150" s="541"/>
    </row>
    <row r="151" spans="1:9" s="17" customFormat="1" ht="16.5" customHeight="1" x14ac:dyDescent="0.2">
      <c r="A151" s="541"/>
      <c r="B151" s="541"/>
      <c r="C151" s="541"/>
      <c r="D151" s="541"/>
      <c r="E151" s="541"/>
      <c r="F151" s="541"/>
      <c r="G151" s="541"/>
      <c r="H151" s="541"/>
      <c r="I151" s="541"/>
    </row>
    <row r="152" spans="1:9" s="17" customFormat="1" ht="16.5" customHeight="1" x14ac:dyDescent="0.2">
      <c r="A152" s="541"/>
      <c r="B152" s="541"/>
      <c r="C152" s="541"/>
      <c r="D152" s="541"/>
      <c r="E152" s="541"/>
      <c r="F152" s="541"/>
      <c r="G152" s="541"/>
      <c r="H152" s="541"/>
      <c r="I152" s="541"/>
    </row>
    <row r="153" spans="1:9" s="17" customFormat="1" ht="16.5" customHeight="1" x14ac:dyDescent="0.2">
      <c r="A153" s="541"/>
      <c r="B153" s="541"/>
      <c r="C153" s="541"/>
      <c r="D153" s="541"/>
      <c r="E153" s="541"/>
      <c r="F153" s="541"/>
      <c r="G153" s="541"/>
      <c r="H153" s="541"/>
      <c r="I153" s="541"/>
    </row>
    <row r="154" spans="1:9" s="17" customFormat="1" ht="16.5" customHeight="1" x14ac:dyDescent="0.2">
      <c r="A154" s="541"/>
      <c r="B154" s="541"/>
      <c r="C154" s="541"/>
      <c r="D154" s="541"/>
      <c r="E154" s="541"/>
      <c r="F154" s="541"/>
      <c r="G154" s="541"/>
      <c r="H154" s="541"/>
      <c r="I154" s="541"/>
    </row>
    <row r="155" spans="1:9" s="17" customFormat="1" ht="16.5" customHeight="1" x14ac:dyDescent="0.2">
      <c r="A155" s="541"/>
      <c r="B155" s="541"/>
      <c r="C155" s="541"/>
      <c r="D155" s="541"/>
      <c r="E155" s="541"/>
      <c r="F155" s="541"/>
      <c r="G155" s="541"/>
      <c r="H155" s="541"/>
      <c r="I155" s="541"/>
    </row>
    <row r="156" spans="1:9" s="17" customFormat="1" ht="16.5" customHeight="1" x14ac:dyDescent="0.2">
      <c r="A156" s="541"/>
      <c r="B156" s="541"/>
      <c r="C156" s="541"/>
      <c r="D156" s="541"/>
      <c r="E156" s="541"/>
      <c r="F156" s="541"/>
      <c r="G156" s="541"/>
      <c r="H156" s="541"/>
      <c r="I156" s="541"/>
    </row>
    <row r="157" spans="1:9" s="17" customFormat="1" ht="16.5" customHeight="1" x14ac:dyDescent="0.2">
      <c r="A157" s="541"/>
      <c r="B157" s="541"/>
      <c r="C157" s="541"/>
      <c r="D157" s="541"/>
      <c r="E157" s="541"/>
      <c r="F157" s="541"/>
      <c r="G157" s="541"/>
      <c r="H157" s="541"/>
      <c r="I157" s="541"/>
    </row>
    <row r="158" spans="1:9" s="17" customFormat="1" ht="16.5" customHeight="1" x14ac:dyDescent="0.2">
      <c r="A158" s="541"/>
      <c r="B158" s="541"/>
      <c r="C158" s="541"/>
      <c r="D158" s="541"/>
      <c r="E158" s="541"/>
      <c r="F158" s="541"/>
      <c r="G158" s="541"/>
      <c r="H158" s="541"/>
      <c r="I158" s="541"/>
    </row>
    <row r="159" spans="1:9" s="17" customFormat="1" ht="16.5" customHeight="1" x14ac:dyDescent="0.2">
      <c r="A159" s="541"/>
      <c r="B159" s="541"/>
      <c r="C159" s="541"/>
      <c r="D159" s="541"/>
      <c r="E159" s="541"/>
      <c r="F159" s="541"/>
      <c r="G159" s="541"/>
      <c r="H159" s="541"/>
      <c r="I159" s="541"/>
    </row>
    <row r="160" spans="1:9" s="17" customFormat="1" ht="16.5" customHeight="1" x14ac:dyDescent="0.2">
      <c r="A160" s="541"/>
      <c r="B160" s="541"/>
      <c r="C160" s="541"/>
      <c r="D160" s="541"/>
      <c r="E160" s="541"/>
      <c r="F160" s="541"/>
      <c r="G160" s="541"/>
      <c r="H160" s="541"/>
      <c r="I160" s="541"/>
    </row>
    <row r="161" spans="1:9" s="17" customFormat="1" ht="16.5" customHeight="1" x14ac:dyDescent="0.2">
      <c r="A161" s="541"/>
      <c r="B161" s="541"/>
      <c r="C161" s="541"/>
      <c r="D161" s="541"/>
      <c r="E161" s="541"/>
      <c r="F161" s="541"/>
      <c r="G161" s="541"/>
      <c r="H161" s="541"/>
      <c r="I161" s="541"/>
    </row>
    <row r="162" spans="1:9" s="17" customFormat="1" ht="16.5" customHeight="1" x14ac:dyDescent="0.2">
      <c r="A162" s="541"/>
      <c r="B162" s="541"/>
      <c r="C162" s="541"/>
      <c r="D162" s="541"/>
      <c r="E162" s="541"/>
      <c r="F162" s="541"/>
      <c r="G162" s="541"/>
      <c r="H162" s="541"/>
      <c r="I162" s="541"/>
    </row>
    <row r="163" spans="1:9" s="17" customFormat="1" ht="16.5" customHeight="1" x14ac:dyDescent="0.2">
      <c r="A163" s="541"/>
      <c r="B163" s="541"/>
      <c r="C163" s="541"/>
      <c r="D163" s="541"/>
      <c r="E163" s="541"/>
      <c r="F163" s="541"/>
      <c r="G163" s="541"/>
      <c r="H163" s="541"/>
      <c r="I163" s="541"/>
    </row>
    <row r="164" spans="1:9" s="17" customFormat="1" ht="16.5" customHeight="1" x14ac:dyDescent="0.2">
      <c r="A164" s="541"/>
      <c r="B164" s="541"/>
      <c r="C164" s="541"/>
      <c r="D164" s="541"/>
      <c r="E164" s="541"/>
      <c r="F164" s="541"/>
      <c r="G164" s="541"/>
      <c r="H164" s="541"/>
      <c r="I164" s="541"/>
    </row>
    <row r="165" spans="1:9" s="17" customFormat="1" ht="16.5" customHeight="1" x14ac:dyDescent="0.2">
      <c r="A165" s="541"/>
      <c r="B165" s="541"/>
      <c r="C165" s="541"/>
      <c r="D165" s="541"/>
      <c r="E165" s="541"/>
      <c r="F165" s="541"/>
      <c r="G165" s="541"/>
      <c r="H165" s="541"/>
      <c r="I165" s="541"/>
    </row>
    <row r="166" spans="1:9" s="17" customFormat="1" ht="16.5" customHeight="1" x14ac:dyDescent="0.2">
      <c r="A166" s="541"/>
      <c r="B166" s="541"/>
      <c r="C166" s="541"/>
      <c r="D166" s="541"/>
      <c r="E166" s="541"/>
      <c r="F166" s="541"/>
      <c r="G166" s="541"/>
      <c r="H166" s="541"/>
      <c r="I166" s="541"/>
    </row>
    <row r="167" spans="1:9" s="17" customFormat="1" ht="16.5" customHeight="1" x14ac:dyDescent="0.2">
      <c r="A167" s="541"/>
      <c r="B167" s="541"/>
      <c r="C167" s="541"/>
      <c r="D167" s="541"/>
      <c r="E167" s="541"/>
      <c r="F167" s="541"/>
      <c r="G167" s="541"/>
      <c r="H167" s="541"/>
      <c r="I167" s="541"/>
    </row>
    <row r="168" spans="1:9" s="17" customFormat="1" ht="16.5" customHeight="1" x14ac:dyDescent="0.2">
      <c r="A168" s="541"/>
      <c r="B168" s="541"/>
      <c r="C168" s="541"/>
      <c r="D168" s="541"/>
      <c r="E168" s="541"/>
      <c r="F168" s="541"/>
      <c r="G168" s="541"/>
      <c r="H168" s="541"/>
    </row>
    <row r="169" spans="1:9" s="17" customFormat="1" ht="16.5" customHeight="1" x14ac:dyDescent="0.2">
      <c r="A169" s="541"/>
      <c r="B169" s="541"/>
      <c r="C169" s="541"/>
      <c r="D169" s="541"/>
      <c r="E169" s="541"/>
      <c r="F169" s="541"/>
      <c r="G169" s="541"/>
      <c r="H169" s="541"/>
      <c r="I169" s="541"/>
    </row>
    <row r="170" spans="1:9" s="17" customFormat="1" ht="16.5" customHeight="1" x14ac:dyDescent="0.2">
      <c r="A170" s="541"/>
      <c r="B170" s="541"/>
      <c r="C170" s="541"/>
      <c r="D170" s="541"/>
      <c r="E170" s="541"/>
      <c r="F170" s="541"/>
      <c r="G170" s="541"/>
      <c r="H170" s="541"/>
      <c r="I170" s="541"/>
    </row>
    <row r="171" spans="1:9" s="17" customFormat="1" ht="16.5" customHeight="1" x14ac:dyDescent="0.2">
      <c r="A171" s="541"/>
      <c r="B171" s="541"/>
      <c r="C171" s="541"/>
      <c r="D171" s="541"/>
      <c r="E171" s="541"/>
      <c r="F171" s="541"/>
      <c r="G171" s="541"/>
      <c r="H171" s="541"/>
      <c r="I171" s="541"/>
    </row>
    <row r="172" spans="1:9" s="17" customFormat="1" ht="16.5" customHeight="1" x14ac:dyDescent="0.2">
      <c r="A172" s="541"/>
      <c r="B172" s="541"/>
      <c r="C172" s="541"/>
      <c r="D172" s="541"/>
      <c r="E172" s="541"/>
      <c r="F172" s="541"/>
      <c r="G172" s="541"/>
      <c r="H172" s="541"/>
      <c r="I172" s="541"/>
    </row>
    <row r="173" spans="1:9" s="17" customFormat="1" ht="16.5" customHeight="1" x14ac:dyDescent="0.2">
      <c r="A173" s="541"/>
      <c r="B173" s="541"/>
      <c r="C173" s="541"/>
      <c r="D173" s="541"/>
      <c r="E173" s="541"/>
      <c r="F173" s="541"/>
      <c r="G173" s="541"/>
      <c r="H173" s="541"/>
      <c r="I173" s="541"/>
    </row>
    <row r="174" spans="1:9" s="17" customFormat="1" ht="16.5" customHeight="1" x14ac:dyDescent="0.2">
      <c r="A174" s="541"/>
      <c r="B174" s="541"/>
      <c r="C174" s="541"/>
      <c r="D174" s="541"/>
      <c r="E174" s="541"/>
      <c r="F174" s="541"/>
      <c r="G174" s="541"/>
      <c r="H174" s="541"/>
      <c r="I174" s="541"/>
    </row>
    <row r="175" spans="1:9" s="17" customFormat="1" ht="16.5" customHeight="1" x14ac:dyDescent="0.2">
      <c r="A175" s="541"/>
      <c r="B175" s="541"/>
      <c r="C175" s="541"/>
      <c r="D175" s="541"/>
      <c r="E175" s="541"/>
      <c r="F175" s="541"/>
      <c r="G175" s="541"/>
      <c r="H175" s="541"/>
      <c r="I175" s="541"/>
    </row>
    <row r="176" spans="1:9" s="17" customFormat="1" ht="16.5" customHeight="1" x14ac:dyDescent="0.2">
      <c r="A176" s="541"/>
      <c r="B176" s="541"/>
      <c r="C176" s="541"/>
      <c r="D176" s="541"/>
      <c r="E176" s="541"/>
      <c r="F176" s="541"/>
      <c r="G176" s="541"/>
      <c r="H176" s="541"/>
      <c r="I176" s="541"/>
    </row>
    <row r="177" spans="1:9" s="17" customFormat="1" ht="16.5" customHeight="1" x14ac:dyDescent="0.2">
      <c r="A177" s="541"/>
      <c r="B177" s="541"/>
      <c r="C177" s="541"/>
      <c r="D177" s="541"/>
      <c r="E177" s="541"/>
      <c r="F177" s="541"/>
      <c r="G177" s="541"/>
      <c r="H177" s="541"/>
      <c r="I177" s="541"/>
    </row>
    <row r="178" spans="1:9" s="17" customFormat="1" ht="16.5" customHeight="1" x14ac:dyDescent="0.2">
      <c r="A178" s="541"/>
      <c r="B178" s="541"/>
      <c r="C178" s="541"/>
      <c r="D178" s="541"/>
      <c r="E178" s="541"/>
      <c r="F178" s="541"/>
      <c r="G178" s="541"/>
      <c r="H178" s="541"/>
      <c r="I178" s="541"/>
    </row>
    <row r="179" spans="1:9" s="17" customFormat="1" ht="16.5" customHeight="1" x14ac:dyDescent="0.2">
      <c r="A179" s="541"/>
      <c r="B179" s="541"/>
      <c r="C179" s="541"/>
      <c r="D179" s="541"/>
      <c r="E179" s="541"/>
      <c r="F179" s="541"/>
      <c r="G179" s="541"/>
      <c r="H179" s="541"/>
      <c r="I179" s="259">
        <v>2</v>
      </c>
    </row>
    <row r="180" spans="1:9" s="17" customFormat="1" ht="16.5" customHeight="1" x14ac:dyDescent="0.2">
      <c r="A180" s="541"/>
      <c r="B180" s="541"/>
      <c r="C180" s="541"/>
      <c r="D180" s="541"/>
      <c r="E180" s="541"/>
      <c r="F180" s="541"/>
      <c r="G180" s="541"/>
      <c r="H180" s="541"/>
      <c r="I180" s="541"/>
    </row>
    <row r="181" spans="1:9" s="17" customFormat="1" ht="16.5" customHeight="1" x14ac:dyDescent="0.2">
      <c r="A181" s="541"/>
      <c r="B181" s="541"/>
      <c r="C181" s="541"/>
      <c r="D181" s="541"/>
      <c r="E181" s="541"/>
      <c r="F181" s="541"/>
      <c r="G181" s="541"/>
      <c r="H181" s="541"/>
    </row>
    <row r="182" spans="1:9" s="17" customFormat="1" ht="16.5" customHeight="1" x14ac:dyDescent="0.2">
      <c r="A182" s="722" t="s">
        <v>47</v>
      </c>
      <c r="B182" s="722"/>
      <c r="C182" s="722"/>
      <c r="D182" s="722"/>
      <c r="E182" s="722"/>
      <c r="F182" s="722"/>
      <c r="G182" s="722"/>
      <c r="H182" s="722"/>
      <c r="I182" s="722"/>
    </row>
    <row r="183" spans="1:9" s="17" customFormat="1" ht="16.5" customHeight="1" x14ac:dyDescent="0.2">
      <c r="A183" s="22"/>
      <c r="B183" s="22"/>
      <c r="C183" s="22"/>
      <c r="D183" s="22"/>
      <c r="E183" s="22"/>
      <c r="F183" s="22"/>
      <c r="G183" s="22"/>
      <c r="H183" s="22"/>
      <c r="I183" s="22"/>
    </row>
    <row r="184" spans="1:9" s="17" customFormat="1" ht="16.5" customHeight="1" x14ac:dyDescent="0.2">
      <c r="A184" s="541"/>
      <c r="B184" s="720" t="s">
        <v>572</v>
      </c>
      <c r="C184" s="720"/>
      <c r="D184" s="720"/>
      <c r="E184" s="720"/>
      <c r="F184" s="720"/>
      <c r="G184" s="720"/>
      <c r="H184" s="720"/>
      <c r="I184" s="720"/>
    </row>
    <row r="185" spans="1:9" s="17" customFormat="1" ht="16.5" customHeight="1" x14ac:dyDescent="0.2">
      <c r="A185" s="720" t="s">
        <v>1041</v>
      </c>
      <c r="B185" s="720"/>
      <c r="C185" s="720"/>
      <c r="D185" s="720"/>
      <c r="E185" s="720"/>
      <c r="F185" s="720"/>
      <c r="G185" s="720"/>
      <c r="H185" s="720"/>
      <c r="I185" s="720"/>
    </row>
    <row r="186" spans="1:9" s="17" customFormat="1" ht="16.5" customHeight="1" x14ac:dyDescent="0.2">
      <c r="A186" s="720" t="s">
        <v>1042</v>
      </c>
      <c r="B186" s="720"/>
      <c r="C186" s="720"/>
      <c r="D186" s="720"/>
      <c r="E186" s="720"/>
      <c r="F186" s="720"/>
      <c r="G186" s="720"/>
      <c r="H186" s="720"/>
      <c r="I186" s="720"/>
    </row>
    <row r="187" spans="1:9" s="17" customFormat="1" ht="16.5" customHeight="1" x14ac:dyDescent="0.2">
      <c r="A187" s="524"/>
      <c r="B187" s="524"/>
      <c r="C187" s="524"/>
      <c r="D187" s="524"/>
      <c r="E187" s="524"/>
      <c r="F187" s="524"/>
      <c r="G187" s="524"/>
      <c r="H187" s="524"/>
      <c r="I187" s="524"/>
    </row>
    <row r="188" spans="1:9" s="17" customFormat="1" ht="16.5" customHeight="1" x14ac:dyDescent="0.2">
      <c r="A188" s="572" t="s">
        <v>48</v>
      </c>
      <c r="B188" s="702" t="s">
        <v>49</v>
      </c>
      <c r="C188" s="703"/>
      <c r="D188" s="393" t="s">
        <v>50</v>
      </c>
      <c r="E188" s="530" t="s">
        <v>51</v>
      </c>
      <c r="F188" s="530" t="s">
        <v>50</v>
      </c>
      <c r="G188" s="706" t="s">
        <v>52</v>
      </c>
      <c r="H188" s="707"/>
      <c r="I188" s="708" t="s">
        <v>53</v>
      </c>
    </row>
    <row r="189" spans="1:9" s="17" customFormat="1" ht="16.5" customHeight="1" x14ac:dyDescent="0.2">
      <c r="A189" s="23" t="s">
        <v>54</v>
      </c>
      <c r="B189" s="704"/>
      <c r="C189" s="705"/>
      <c r="D189" s="392" t="s">
        <v>541</v>
      </c>
      <c r="E189" s="531" t="s">
        <v>573</v>
      </c>
      <c r="F189" s="531" t="s">
        <v>607</v>
      </c>
      <c r="G189" s="24" t="s">
        <v>55</v>
      </c>
      <c r="H189" s="24" t="s">
        <v>56</v>
      </c>
      <c r="I189" s="709"/>
    </row>
    <row r="190" spans="1:9" s="17" customFormat="1" ht="16.5" customHeight="1" x14ac:dyDescent="0.2">
      <c r="A190" s="25">
        <v>1</v>
      </c>
      <c r="B190" s="805">
        <v>2</v>
      </c>
      <c r="C190" s="806"/>
      <c r="D190" s="532">
        <v>3</v>
      </c>
      <c r="E190" s="571">
        <v>4</v>
      </c>
      <c r="F190" s="555">
        <v>5</v>
      </c>
      <c r="G190" s="571">
        <v>6</v>
      </c>
      <c r="H190" s="571">
        <v>7</v>
      </c>
      <c r="I190" s="26">
        <v>8</v>
      </c>
    </row>
    <row r="191" spans="1:9" s="17" customFormat="1" ht="16.5" customHeight="1" x14ac:dyDescent="0.2">
      <c r="A191" s="552">
        <v>16019</v>
      </c>
      <c r="B191" s="790" t="s">
        <v>57</v>
      </c>
      <c r="C191" s="791"/>
      <c r="D191" s="491">
        <v>15</v>
      </c>
      <c r="E191" s="342">
        <v>20</v>
      </c>
      <c r="F191" s="485" t="s">
        <v>1035</v>
      </c>
      <c r="G191" s="148">
        <f t="shared" ref="G191:G224" si="0">F191/D191</f>
        <v>1.3333333333333333</v>
      </c>
      <c r="H191" s="148">
        <f t="shared" ref="H191:H224" si="1">F191/E191</f>
        <v>1</v>
      </c>
      <c r="I191" s="137">
        <f>F191/F224</f>
        <v>9.0744101633393835E-3</v>
      </c>
    </row>
    <row r="192" spans="1:9" s="17" customFormat="1" ht="16.5" customHeight="1" x14ac:dyDescent="0.2">
      <c r="A192" s="92">
        <v>163</v>
      </c>
      <c r="B192" s="882" t="s">
        <v>59</v>
      </c>
      <c r="C192" s="883"/>
      <c r="D192" s="343">
        <f>D193+D194+D195</f>
        <v>55</v>
      </c>
      <c r="E192" s="343">
        <f>E193+E194+E195</f>
        <v>61</v>
      </c>
      <c r="F192" s="343">
        <f>F193+F194+F195</f>
        <v>57</v>
      </c>
      <c r="G192" s="148">
        <f t="shared" si="0"/>
        <v>1.0363636363636364</v>
      </c>
      <c r="H192" s="148">
        <f t="shared" si="1"/>
        <v>0.93442622950819676</v>
      </c>
      <c r="I192" s="48">
        <f>F192/F224</f>
        <v>2.5862068965517241E-2</v>
      </c>
    </row>
    <row r="193" spans="1:9" s="17" customFormat="1" ht="16.5" customHeight="1" x14ac:dyDescent="0.2">
      <c r="A193" s="30">
        <v>16319</v>
      </c>
      <c r="B193" s="878" t="s">
        <v>60</v>
      </c>
      <c r="C193" s="879"/>
      <c r="D193" s="486" t="s">
        <v>556</v>
      </c>
      <c r="E193" s="31">
        <v>59</v>
      </c>
      <c r="F193" s="486" t="s">
        <v>1036</v>
      </c>
      <c r="G193" s="32">
        <f t="shared" si="0"/>
        <v>1.0185185185185186</v>
      </c>
      <c r="H193" s="32">
        <f t="shared" si="1"/>
        <v>0.93220338983050843</v>
      </c>
      <c r="I193" s="33">
        <f>F193/F192</f>
        <v>0.96491228070175439</v>
      </c>
    </row>
    <row r="194" spans="1:9" s="17" customFormat="1" ht="16.5" customHeight="1" x14ac:dyDescent="0.2">
      <c r="A194" s="30">
        <v>16519</v>
      </c>
      <c r="B194" s="878" t="s">
        <v>61</v>
      </c>
      <c r="C194" s="879"/>
      <c r="D194" s="34" t="s">
        <v>502</v>
      </c>
      <c r="E194" s="31">
        <v>1</v>
      </c>
      <c r="F194" s="34" t="s">
        <v>62</v>
      </c>
      <c r="G194" s="32" t="e">
        <f t="shared" si="0"/>
        <v>#DIV/0!</v>
      </c>
      <c r="H194" s="32">
        <f t="shared" si="1"/>
        <v>1</v>
      </c>
      <c r="I194" s="33">
        <f>F194/F192</f>
        <v>1.7543859649122806E-2</v>
      </c>
    </row>
    <row r="195" spans="1:9" s="17" customFormat="1" ht="16.5" customHeight="1" x14ac:dyDescent="0.2">
      <c r="A195" s="30">
        <v>16559</v>
      </c>
      <c r="B195" s="878" t="s">
        <v>63</v>
      </c>
      <c r="C195" s="879"/>
      <c r="D195" s="35">
        <v>1</v>
      </c>
      <c r="E195" s="31">
        <v>1</v>
      </c>
      <c r="F195" s="35">
        <v>1</v>
      </c>
      <c r="G195" s="32">
        <f t="shared" si="0"/>
        <v>1</v>
      </c>
      <c r="H195" s="32">
        <f t="shared" si="1"/>
        <v>1</v>
      </c>
      <c r="I195" s="33">
        <f>F195/F192</f>
        <v>1.7543859649122806E-2</v>
      </c>
    </row>
    <row r="196" spans="1:9" s="17" customFormat="1" ht="16.5" customHeight="1" x14ac:dyDescent="0.2">
      <c r="A196" s="552">
        <v>16637</v>
      </c>
      <c r="B196" s="790" t="s">
        <v>64</v>
      </c>
      <c r="C196" s="791"/>
      <c r="D196" s="483">
        <v>23</v>
      </c>
      <c r="E196" s="344">
        <v>27</v>
      </c>
      <c r="F196" s="483">
        <v>23</v>
      </c>
      <c r="G196" s="148">
        <f t="shared" si="0"/>
        <v>1</v>
      </c>
      <c r="H196" s="148">
        <f t="shared" si="1"/>
        <v>0.85185185185185186</v>
      </c>
      <c r="I196" s="48">
        <f>F196/F224</f>
        <v>1.0435571687840291E-2</v>
      </c>
    </row>
    <row r="197" spans="1:9" s="17" customFormat="1" ht="16.5" customHeight="1" x14ac:dyDescent="0.2">
      <c r="A197" s="552">
        <v>16795</v>
      </c>
      <c r="B197" s="790" t="s">
        <v>65</v>
      </c>
      <c r="C197" s="791"/>
      <c r="D197" s="347">
        <v>3</v>
      </c>
      <c r="E197" s="344">
        <v>4</v>
      </c>
      <c r="F197" s="483">
        <v>4</v>
      </c>
      <c r="G197" s="148">
        <f t="shared" si="0"/>
        <v>1.3333333333333333</v>
      </c>
      <c r="H197" s="148">
        <f t="shared" si="1"/>
        <v>1</v>
      </c>
      <c r="I197" s="48">
        <f>F197/F224</f>
        <v>1.8148820326678765E-3</v>
      </c>
    </row>
    <row r="198" spans="1:9" s="17" customFormat="1" ht="16.5" customHeight="1" x14ac:dyDescent="0.2">
      <c r="A198" s="552">
        <v>16919</v>
      </c>
      <c r="B198" s="790" t="s">
        <v>66</v>
      </c>
      <c r="C198" s="791"/>
      <c r="D198" s="347">
        <v>70</v>
      </c>
      <c r="E198" s="344">
        <v>35</v>
      </c>
      <c r="F198" s="483">
        <v>66</v>
      </c>
      <c r="G198" s="148">
        <f t="shared" si="0"/>
        <v>0.94285714285714284</v>
      </c>
      <c r="H198" s="148">
        <f t="shared" si="1"/>
        <v>1.8857142857142857</v>
      </c>
      <c r="I198" s="48">
        <f>F198/F224</f>
        <v>2.9945553539019964E-2</v>
      </c>
    </row>
    <row r="199" spans="1:9" s="17" customFormat="1" ht="16.5" customHeight="1" x14ac:dyDescent="0.2">
      <c r="A199" s="552">
        <v>17519</v>
      </c>
      <c r="B199" s="790" t="s">
        <v>25</v>
      </c>
      <c r="C199" s="791"/>
      <c r="D199" s="347">
        <v>25</v>
      </c>
      <c r="E199" s="344">
        <v>33</v>
      </c>
      <c r="F199" s="484" t="s">
        <v>34</v>
      </c>
      <c r="G199" s="148">
        <f t="shared" si="0"/>
        <v>1.28</v>
      </c>
      <c r="H199" s="148">
        <f t="shared" si="1"/>
        <v>0.96969696969696972</v>
      </c>
      <c r="I199" s="48">
        <f>F199/F224</f>
        <v>1.4519056261343012E-2</v>
      </c>
    </row>
    <row r="200" spans="1:9" s="17" customFormat="1" ht="16.5" customHeight="1" x14ac:dyDescent="0.2">
      <c r="A200" s="552">
        <v>180</v>
      </c>
      <c r="B200" s="882" t="s">
        <v>67</v>
      </c>
      <c r="C200" s="883"/>
      <c r="D200" s="345">
        <f>D201+D202</f>
        <v>48</v>
      </c>
      <c r="E200" s="345">
        <f>E201+E202</f>
        <v>55</v>
      </c>
      <c r="F200" s="345">
        <f>F201+F202</f>
        <v>53</v>
      </c>
      <c r="G200" s="148">
        <f t="shared" si="0"/>
        <v>1.1041666666666667</v>
      </c>
      <c r="H200" s="148">
        <f t="shared" si="1"/>
        <v>0.96363636363636362</v>
      </c>
      <c r="I200" s="48">
        <f>F200/F224</f>
        <v>2.4047186932849365E-2</v>
      </c>
    </row>
    <row r="201" spans="1:9" s="17" customFormat="1" ht="16.5" customHeight="1" x14ac:dyDescent="0.2">
      <c r="A201" s="30">
        <v>18019</v>
      </c>
      <c r="B201" s="878" t="s">
        <v>68</v>
      </c>
      <c r="C201" s="879"/>
      <c r="D201" s="34" t="s">
        <v>557</v>
      </c>
      <c r="E201" s="31">
        <v>14</v>
      </c>
      <c r="F201" s="34" t="s">
        <v>58</v>
      </c>
      <c r="G201" s="32">
        <f t="shared" si="0"/>
        <v>1.0833333333333333</v>
      </c>
      <c r="H201" s="32">
        <f t="shared" si="1"/>
        <v>0.9285714285714286</v>
      </c>
      <c r="I201" s="33">
        <f>F201/F200</f>
        <v>0.24528301886792453</v>
      </c>
    </row>
    <row r="202" spans="1:9" s="17" customFormat="1" ht="16.5" customHeight="1" x14ac:dyDescent="0.2">
      <c r="A202" s="30">
        <v>18295</v>
      </c>
      <c r="B202" s="878" t="s">
        <v>69</v>
      </c>
      <c r="C202" s="879"/>
      <c r="D202" s="34" t="s">
        <v>470</v>
      </c>
      <c r="E202" s="31">
        <v>41</v>
      </c>
      <c r="F202" s="34" t="s">
        <v>1037</v>
      </c>
      <c r="G202" s="32">
        <f t="shared" si="0"/>
        <v>1.1111111111111112</v>
      </c>
      <c r="H202" s="32">
        <f t="shared" si="1"/>
        <v>0.97560975609756095</v>
      </c>
      <c r="I202" s="33">
        <f>F202/F200</f>
        <v>0.75471698113207553</v>
      </c>
    </row>
    <row r="203" spans="1:9" s="17" customFormat="1" ht="16.5" customHeight="1" x14ac:dyDescent="0.2">
      <c r="A203" s="552">
        <v>19595</v>
      </c>
      <c r="B203" s="790" t="s">
        <v>70</v>
      </c>
      <c r="C203" s="791"/>
      <c r="D203" s="347">
        <v>7</v>
      </c>
      <c r="E203" s="344">
        <v>8</v>
      </c>
      <c r="F203" s="484" t="s">
        <v>558</v>
      </c>
      <c r="G203" s="148">
        <f t="shared" si="0"/>
        <v>1</v>
      </c>
      <c r="H203" s="148">
        <f t="shared" si="1"/>
        <v>0.875</v>
      </c>
      <c r="I203" s="48">
        <f>F203/F224</f>
        <v>3.1760435571687841E-3</v>
      </c>
    </row>
    <row r="204" spans="1:9" s="17" customFormat="1" ht="16.5" customHeight="1" x14ac:dyDescent="0.2">
      <c r="A204" s="552">
        <v>47019</v>
      </c>
      <c r="B204" s="790" t="s">
        <v>71</v>
      </c>
      <c r="C204" s="791"/>
      <c r="D204" s="347">
        <v>23</v>
      </c>
      <c r="E204" s="344">
        <v>25</v>
      </c>
      <c r="F204" s="484" t="s">
        <v>485</v>
      </c>
      <c r="G204" s="148">
        <f t="shared" si="0"/>
        <v>0.91304347826086951</v>
      </c>
      <c r="H204" s="148">
        <f t="shared" si="1"/>
        <v>0.84</v>
      </c>
      <c r="I204" s="48">
        <f>F204/F224</f>
        <v>9.5281306715063515E-3</v>
      </c>
    </row>
    <row r="205" spans="1:9" s="17" customFormat="1" ht="16.5" customHeight="1" x14ac:dyDescent="0.2">
      <c r="A205" s="552">
        <v>48019</v>
      </c>
      <c r="B205" s="790" t="s">
        <v>72</v>
      </c>
      <c r="C205" s="791"/>
      <c r="D205" s="347">
        <v>6</v>
      </c>
      <c r="E205" s="344">
        <v>6</v>
      </c>
      <c r="F205" s="484" t="s">
        <v>482</v>
      </c>
      <c r="G205" s="148">
        <f t="shared" si="0"/>
        <v>1</v>
      </c>
      <c r="H205" s="148">
        <f t="shared" si="1"/>
        <v>1</v>
      </c>
      <c r="I205" s="48">
        <f>F205/F224</f>
        <v>2.7223230490018148E-3</v>
      </c>
    </row>
    <row r="206" spans="1:9" s="17" customFormat="1" ht="16.5" customHeight="1" x14ac:dyDescent="0.2">
      <c r="A206" s="552">
        <v>650</v>
      </c>
      <c r="B206" s="790" t="s">
        <v>73</v>
      </c>
      <c r="C206" s="791"/>
      <c r="D206" s="345">
        <f>D207+D208</f>
        <v>22</v>
      </c>
      <c r="E206" s="344">
        <f>E207+E208</f>
        <v>23</v>
      </c>
      <c r="F206" s="344">
        <f>F207+F208</f>
        <v>23</v>
      </c>
      <c r="G206" s="148">
        <f t="shared" si="0"/>
        <v>1.0454545454545454</v>
      </c>
      <c r="H206" s="148">
        <f t="shared" si="1"/>
        <v>1</v>
      </c>
      <c r="I206" s="48">
        <f>F206/F224</f>
        <v>1.0435571687840291E-2</v>
      </c>
    </row>
    <row r="207" spans="1:9" s="17" customFormat="1" ht="16.5" customHeight="1" x14ac:dyDescent="0.2">
      <c r="A207" s="30">
        <v>65095</v>
      </c>
      <c r="B207" s="878" t="s">
        <v>377</v>
      </c>
      <c r="C207" s="879"/>
      <c r="D207" s="34" t="s">
        <v>533</v>
      </c>
      <c r="E207" s="31">
        <v>18</v>
      </c>
      <c r="F207" s="34" t="s">
        <v>1038</v>
      </c>
      <c r="G207" s="32">
        <f t="shared" si="0"/>
        <v>1.0588235294117647</v>
      </c>
      <c r="H207" s="32">
        <f t="shared" si="1"/>
        <v>1</v>
      </c>
      <c r="I207" s="33">
        <f>F207/F206</f>
        <v>0.78260869565217395</v>
      </c>
    </row>
    <row r="208" spans="1:9" s="17" customFormat="1" ht="16.5" customHeight="1" x14ac:dyDescent="0.2">
      <c r="A208" s="30">
        <v>65495</v>
      </c>
      <c r="B208" s="878" t="s">
        <v>378</v>
      </c>
      <c r="C208" s="879"/>
      <c r="D208" s="34" t="s">
        <v>559</v>
      </c>
      <c r="E208" s="31">
        <v>5</v>
      </c>
      <c r="F208" s="34" t="s">
        <v>559</v>
      </c>
      <c r="G208" s="32">
        <f t="shared" si="0"/>
        <v>1</v>
      </c>
      <c r="H208" s="32">
        <f t="shared" si="1"/>
        <v>1</v>
      </c>
      <c r="I208" s="33">
        <f>F208/F206</f>
        <v>0.21739130434782608</v>
      </c>
    </row>
    <row r="209" spans="1:9" s="17" customFormat="1" ht="16.5" customHeight="1" x14ac:dyDescent="0.2">
      <c r="A209" s="552">
        <v>66100</v>
      </c>
      <c r="B209" s="790" t="s">
        <v>74</v>
      </c>
      <c r="C209" s="791"/>
      <c r="D209" s="484" t="s">
        <v>58</v>
      </c>
      <c r="E209" s="344">
        <v>12</v>
      </c>
      <c r="F209" s="484" t="s">
        <v>1039</v>
      </c>
      <c r="G209" s="148">
        <f t="shared" si="0"/>
        <v>0.84615384615384615</v>
      </c>
      <c r="H209" s="148">
        <f t="shared" si="1"/>
        <v>0.91666666666666663</v>
      </c>
      <c r="I209" s="48">
        <f>F209/F224</f>
        <v>4.9909255898366606E-3</v>
      </c>
    </row>
    <row r="210" spans="1:9" s="17" customFormat="1" ht="16.5" customHeight="1" x14ac:dyDescent="0.2">
      <c r="A210" s="552">
        <v>730</v>
      </c>
      <c r="B210" s="790" t="s">
        <v>75</v>
      </c>
      <c r="C210" s="791"/>
      <c r="D210" s="346" t="s">
        <v>574</v>
      </c>
      <c r="E210" s="346">
        <f>E211+E212</f>
        <v>358</v>
      </c>
      <c r="F210" s="346">
        <f>F211+F212</f>
        <v>342</v>
      </c>
      <c r="G210" s="148">
        <f t="shared" si="0"/>
        <v>1.0058823529411764</v>
      </c>
      <c r="H210" s="148">
        <f t="shared" si="1"/>
        <v>0.95530726256983245</v>
      </c>
      <c r="I210" s="48">
        <f>F210/F224</f>
        <v>0.15517241379310345</v>
      </c>
    </row>
    <row r="211" spans="1:9" s="17" customFormat="1" ht="16.5" customHeight="1" x14ac:dyDescent="0.2">
      <c r="A211" s="30">
        <v>73028</v>
      </c>
      <c r="B211" s="878" t="s">
        <v>76</v>
      </c>
      <c r="C211" s="879"/>
      <c r="D211" s="185">
        <v>4</v>
      </c>
      <c r="E211" s="31">
        <v>4</v>
      </c>
      <c r="F211" s="35">
        <v>4</v>
      </c>
      <c r="G211" s="32">
        <f t="shared" si="0"/>
        <v>1</v>
      </c>
      <c r="H211" s="32">
        <f t="shared" si="1"/>
        <v>1</v>
      </c>
      <c r="I211" s="33">
        <f>F211/F210</f>
        <v>1.1695906432748537E-2</v>
      </c>
    </row>
    <row r="212" spans="1:9" s="17" customFormat="1" ht="16.5" customHeight="1" x14ac:dyDescent="0.2">
      <c r="A212" s="30">
        <v>74100</v>
      </c>
      <c r="B212" s="878" t="s">
        <v>77</v>
      </c>
      <c r="C212" s="879"/>
      <c r="D212" s="185">
        <v>336</v>
      </c>
      <c r="E212" s="31">
        <v>354</v>
      </c>
      <c r="F212" s="34" t="s">
        <v>1040</v>
      </c>
      <c r="G212" s="32">
        <f t="shared" si="0"/>
        <v>1.0059523809523809</v>
      </c>
      <c r="H212" s="32">
        <f t="shared" si="1"/>
        <v>0.95480225988700562</v>
      </c>
      <c r="I212" s="33">
        <f>F212/F210</f>
        <v>0.98830409356725146</v>
      </c>
    </row>
    <row r="213" spans="1:9" s="17" customFormat="1" ht="16.5" customHeight="1" x14ac:dyDescent="0.2">
      <c r="A213" s="92">
        <v>75590</v>
      </c>
      <c r="B213" s="880" t="s">
        <v>78</v>
      </c>
      <c r="C213" s="881"/>
      <c r="D213" s="347">
        <v>18</v>
      </c>
      <c r="E213" s="344">
        <f>E214+E215</f>
        <v>30</v>
      </c>
      <c r="F213" s="347">
        <v>18</v>
      </c>
      <c r="G213" s="148">
        <f t="shared" si="0"/>
        <v>1</v>
      </c>
      <c r="H213" s="148">
        <f t="shared" si="1"/>
        <v>0.6</v>
      </c>
      <c r="I213" s="48">
        <f>F213/F224</f>
        <v>8.1669691470054439E-3</v>
      </c>
    </row>
    <row r="214" spans="1:9" s="17" customFormat="1" ht="16.5" customHeight="1" x14ac:dyDescent="0.2">
      <c r="A214" s="620">
        <v>75591</v>
      </c>
      <c r="B214" s="618" t="s">
        <v>576</v>
      </c>
      <c r="C214" s="621"/>
      <c r="D214" s="619">
        <v>0</v>
      </c>
      <c r="E214" s="617">
        <v>20</v>
      </c>
      <c r="F214" s="619"/>
      <c r="G214" s="27" t="e">
        <f>F214/D214</f>
        <v>#DIV/0!</v>
      </c>
      <c r="H214" s="27">
        <f>F214/E214</f>
        <v>0</v>
      </c>
      <c r="I214" s="29">
        <f>F214/F213</f>
        <v>0</v>
      </c>
    </row>
    <row r="215" spans="1:9" s="17" customFormat="1" ht="16.5" customHeight="1" x14ac:dyDescent="0.2">
      <c r="A215" s="620">
        <v>75592</v>
      </c>
      <c r="B215" s="618" t="s">
        <v>577</v>
      </c>
      <c r="C215" s="621"/>
      <c r="D215" s="619">
        <v>0</v>
      </c>
      <c r="E215" s="617">
        <v>10</v>
      </c>
      <c r="F215" s="619"/>
      <c r="G215" s="27" t="e">
        <f>F215/D215</f>
        <v>#DIV/0!</v>
      </c>
      <c r="H215" s="27">
        <f>F215/E215</f>
        <v>0</v>
      </c>
      <c r="I215" s="29">
        <f>F215/F213</f>
        <v>0</v>
      </c>
    </row>
    <row r="216" spans="1:9" s="17" customFormat="1" ht="16.5" customHeight="1" x14ac:dyDescent="0.2">
      <c r="A216" s="552">
        <v>850</v>
      </c>
      <c r="B216" s="790" t="s">
        <v>40</v>
      </c>
      <c r="C216" s="791"/>
      <c r="D216" s="347">
        <f>D217+D218</f>
        <v>52</v>
      </c>
      <c r="E216" s="348">
        <f t="shared" ref="E216:F216" si="2">E217+E218</f>
        <v>57</v>
      </c>
      <c r="F216" s="348">
        <f t="shared" si="2"/>
        <v>45</v>
      </c>
      <c r="G216" s="148">
        <f t="shared" si="0"/>
        <v>0.86538461538461542</v>
      </c>
      <c r="H216" s="148">
        <f t="shared" si="1"/>
        <v>0.78947368421052633</v>
      </c>
      <c r="I216" s="48">
        <f>F216/F224</f>
        <v>2.0417422867513611E-2</v>
      </c>
    </row>
    <row r="217" spans="1:9" s="17" customFormat="1" ht="16.5" customHeight="1" x14ac:dyDescent="0.2">
      <c r="A217" s="326">
        <v>85019</v>
      </c>
      <c r="B217" s="327" t="s">
        <v>379</v>
      </c>
      <c r="C217" s="553"/>
      <c r="D217" s="185">
        <v>35</v>
      </c>
      <c r="E217" s="185">
        <v>35</v>
      </c>
      <c r="F217" s="328">
        <v>29</v>
      </c>
      <c r="G217" s="333">
        <f t="shared" si="0"/>
        <v>0.82857142857142863</v>
      </c>
      <c r="H217" s="333">
        <f t="shared" si="1"/>
        <v>0.82857142857142863</v>
      </c>
      <c r="I217" s="33">
        <f>F217/F216</f>
        <v>0.64444444444444449</v>
      </c>
    </row>
    <row r="218" spans="1:9" s="17" customFormat="1" ht="16.5" customHeight="1" x14ac:dyDescent="0.2">
      <c r="A218" s="326">
        <v>85184</v>
      </c>
      <c r="B218" s="878" t="s">
        <v>380</v>
      </c>
      <c r="C218" s="879"/>
      <c r="D218" s="35">
        <v>17</v>
      </c>
      <c r="E218" s="35">
        <v>22</v>
      </c>
      <c r="F218" s="329">
        <v>16</v>
      </c>
      <c r="G218" s="333">
        <f t="shared" si="0"/>
        <v>0.94117647058823528</v>
      </c>
      <c r="H218" s="333">
        <f t="shared" si="1"/>
        <v>0.72727272727272729</v>
      </c>
      <c r="I218" s="33">
        <f>F218/F216</f>
        <v>0.35555555555555557</v>
      </c>
    </row>
    <row r="219" spans="1:9" s="17" customFormat="1" ht="16.5" customHeight="1" x14ac:dyDescent="0.2">
      <c r="A219" s="552">
        <v>920</v>
      </c>
      <c r="B219" s="790" t="s">
        <v>79</v>
      </c>
      <c r="C219" s="791"/>
      <c r="D219" s="344">
        <f>D220+D221+D222+D223</f>
        <v>1471</v>
      </c>
      <c r="E219" s="344">
        <f>E220+E221+E222+E223</f>
        <v>1457</v>
      </c>
      <c r="F219" s="349">
        <f>F220+F221+F222+F223</f>
        <v>1476</v>
      </c>
      <c r="G219" s="148">
        <f t="shared" si="0"/>
        <v>1.0033990482664854</v>
      </c>
      <c r="H219" s="148">
        <f t="shared" si="1"/>
        <v>1.0130404941660947</v>
      </c>
      <c r="I219" s="48">
        <f>F219/F224</f>
        <v>0.66969147005444651</v>
      </c>
    </row>
    <row r="220" spans="1:9" s="17" customFormat="1" ht="16.5" customHeight="1" x14ac:dyDescent="0.2">
      <c r="A220" s="30">
        <v>92095</v>
      </c>
      <c r="B220" s="878" t="s">
        <v>80</v>
      </c>
      <c r="C220" s="879"/>
      <c r="D220" s="31">
        <v>13</v>
      </c>
      <c r="E220" s="31">
        <v>15</v>
      </c>
      <c r="F220" s="36">
        <v>13</v>
      </c>
      <c r="G220" s="32">
        <f t="shared" si="0"/>
        <v>1</v>
      </c>
      <c r="H220" s="32">
        <f t="shared" si="1"/>
        <v>0.8666666666666667</v>
      </c>
      <c r="I220" s="33">
        <f>F220/F219</f>
        <v>8.8075880758807581E-3</v>
      </c>
    </row>
    <row r="221" spans="1:9" s="17" customFormat="1" ht="16.5" customHeight="1" x14ac:dyDescent="0.2">
      <c r="A221" s="30">
        <v>92570</v>
      </c>
      <c r="B221" s="878" t="s">
        <v>81</v>
      </c>
      <c r="C221" s="879"/>
      <c r="D221" s="31">
        <v>68</v>
      </c>
      <c r="E221" s="37">
        <v>90</v>
      </c>
      <c r="F221" s="35">
        <v>79</v>
      </c>
      <c r="G221" s="32">
        <f t="shared" si="0"/>
        <v>1.161764705882353</v>
      </c>
      <c r="H221" s="32">
        <f t="shared" si="1"/>
        <v>0.87777777777777777</v>
      </c>
      <c r="I221" s="33">
        <f>F221/F219</f>
        <v>5.3523035230352303E-2</v>
      </c>
    </row>
    <row r="222" spans="1:9" s="17" customFormat="1" ht="16.5" customHeight="1" x14ac:dyDescent="0.2">
      <c r="A222" s="30">
        <v>93540</v>
      </c>
      <c r="B222" s="878" t="s">
        <v>82</v>
      </c>
      <c r="C222" s="879"/>
      <c r="D222" s="31">
        <v>1016</v>
      </c>
      <c r="E222" s="31">
        <v>975</v>
      </c>
      <c r="F222" s="35">
        <f>73+13+28+41+15+43+69+18+60+71+30+30+19+10+29+59+24+19+27+2+32+46+34+50+90+24+28+18</f>
        <v>1002</v>
      </c>
      <c r="G222" s="32">
        <f t="shared" si="0"/>
        <v>0.98622047244094491</v>
      </c>
      <c r="H222" s="32">
        <f t="shared" si="1"/>
        <v>1.0276923076923077</v>
      </c>
      <c r="I222" s="33">
        <f>F222/F219</f>
        <v>0.67886178861788615</v>
      </c>
    </row>
    <row r="223" spans="1:9" s="17" customFormat="1" ht="16.5" customHeight="1" x14ac:dyDescent="0.2">
      <c r="A223" s="30">
        <v>94740</v>
      </c>
      <c r="B223" s="878" t="s">
        <v>83</v>
      </c>
      <c r="C223" s="879"/>
      <c r="D223" s="492">
        <v>374</v>
      </c>
      <c r="E223" s="31">
        <v>377</v>
      </c>
      <c r="F223" s="38">
        <f>135+30+33+62+87+9+26</f>
        <v>382</v>
      </c>
      <c r="G223" s="32">
        <f t="shared" si="0"/>
        <v>1.0213903743315509</v>
      </c>
      <c r="H223" s="32">
        <f t="shared" si="1"/>
        <v>1.0132625994694959</v>
      </c>
      <c r="I223" s="33">
        <f>F223/F219</f>
        <v>0.25880758807588078</v>
      </c>
    </row>
    <row r="224" spans="1:9" s="17" customFormat="1" ht="16.5" customHeight="1" x14ac:dyDescent="0.2">
      <c r="A224" s="552"/>
      <c r="B224" s="790" t="s">
        <v>333</v>
      </c>
      <c r="C224" s="791"/>
      <c r="D224" s="445">
        <f>D191+D192+D196+D197+D198+D199+D200+D203+D204+D205+D206+D209+D210+D213+D216+D219</f>
        <v>2191</v>
      </c>
      <c r="E224" s="445">
        <f t="shared" ref="E224" si="3">E191+E192+E196+E197+E198+E199+E200+E203+E204+E205+E206+E209+E210+E213+E216+E219</f>
        <v>2211</v>
      </c>
      <c r="F224" s="445">
        <f>F191+F192+F196+F197+F198+F199+F200+F203+F204+F205+F206+F209+F210+F213+F216+F219</f>
        <v>2204</v>
      </c>
      <c r="G224" s="148">
        <f t="shared" si="0"/>
        <v>1.0059333637608399</v>
      </c>
      <c r="H224" s="148">
        <f t="shared" si="1"/>
        <v>0.99683401175938491</v>
      </c>
      <c r="I224" s="48">
        <f>I191+I192+I196+I197+I198+I199+I200+I203+I204+I205+I206+I209+I210+I213+I216+I219</f>
        <v>1</v>
      </c>
    </row>
    <row r="225" spans="1:11" s="17" customFormat="1" ht="16.5" customHeight="1" x14ac:dyDescent="0.2">
      <c r="A225" s="21"/>
      <c r="B225" s="21"/>
      <c r="C225" s="21"/>
      <c r="D225" s="21"/>
      <c r="E225" s="21"/>
      <c r="F225" s="21"/>
      <c r="G225" s="21"/>
      <c r="H225" s="21"/>
      <c r="I225" s="21"/>
    </row>
    <row r="226" spans="1:11" s="17" customFormat="1" ht="16.5" customHeight="1" x14ac:dyDescent="0.2">
      <c r="B226" s="720" t="s">
        <v>397</v>
      </c>
      <c r="C226" s="720"/>
      <c r="D226" s="720"/>
      <c r="E226" s="720"/>
      <c r="F226" s="720"/>
      <c r="G226" s="720"/>
      <c r="H226" s="720"/>
      <c r="I226" s="720"/>
    </row>
    <row r="227" spans="1:11" s="17" customFormat="1" ht="16.5" customHeight="1" x14ac:dyDescent="0.2">
      <c r="A227" s="720" t="s">
        <v>1043</v>
      </c>
      <c r="B227" s="720"/>
      <c r="C227" s="720"/>
      <c r="D227" s="720"/>
      <c r="E227" s="720"/>
      <c r="F227" s="720"/>
      <c r="G227" s="720"/>
      <c r="H227" s="720"/>
      <c r="I227" s="720"/>
      <c r="K227" s="322"/>
    </row>
    <row r="228" spans="1:11" s="17" customFormat="1" ht="16.5" customHeight="1" x14ac:dyDescent="0.2">
      <c r="A228" s="524"/>
      <c r="B228" s="524"/>
      <c r="C228" s="524"/>
      <c r="D228" s="524"/>
      <c r="E228" s="524"/>
      <c r="F228" s="524"/>
      <c r="G228" s="524"/>
      <c r="H228" s="524"/>
      <c r="I228" s="524"/>
      <c r="K228" s="322"/>
    </row>
    <row r="229" spans="1:11" s="17" customFormat="1" ht="16.5" customHeight="1" x14ac:dyDescent="0.2">
      <c r="A229" s="524"/>
      <c r="B229" s="524"/>
      <c r="C229" s="524"/>
      <c r="D229" s="524"/>
      <c r="E229" s="524"/>
      <c r="F229" s="524"/>
      <c r="G229" s="524"/>
      <c r="H229" s="524"/>
      <c r="I229" s="524"/>
      <c r="K229" s="322"/>
    </row>
    <row r="230" spans="1:11" s="17" customFormat="1" ht="16.5" customHeight="1" x14ac:dyDescent="0.2">
      <c r="A230" s="524"/>
      <c r="B230" s="524"/>
      <c r="C230" s="524"/>
      <c r="D230" s="524"/>
      <c r="E230" s="524"/>
      <c r="F230" s="524"/>
      <c r="G230" s="524"/>
      <c r="H230" s="524"/>
      <c r="I230" s="524"/>
      <c r="K230" s="322"/>
    </row>
    <row r="231" spans="1:11" s="17" customFormat="1" ht="16.5" customHeight="1" x14ac:dyDescent="0.2">
      <c r="A231" s="524"/>
      <c r="B231" s="524"/>
      <c r="C231" s="524"/>
      <c r="D231" s="524"/>
      <c r="E231" s="524"/>
      <c r="F231" s="524"/>
      <c r="G231" s="524"/>
      <c r="H231" s="524"/>
      <c r="I231" s="408"/>
      <c r="K231" s="322"/>
    </row>
    <row r="232" spans="1:11" s="17" customFormat="1" ht="16.5" customHeight="1" x14ac:dyDescent="0.2">
      <c r="A232" s="524"/>
      <c r="B232" s="524"/>
      <c r="C232" s="524"/>
      <c r="D232" s="524"/>
      <c r="E232" s="524"/>
      <c r="F232" s="524"/>
      <c r="G232" s="524"/>
      <c r="H232" s="524"/>
      <c r="I232" s="408"/>
      <c r="K232" s="322"/>
    </row>
    <row r="233" spans="1:11" s="17" customFormat="1" ht="16.5" customHeight="1" x14ac:dyDescent="0.2">
      <c r="A233" s="524"/>
      <c r="B233" s="524"/>
      <c r="C233" s="524"/>
      <c r="D233" s="524"/>
      <c r="E233" s="524"/>
      <c r="F233" s="524"/>
      <c r="G233" s="524"/>
      <c r="H233" s="524"/>
      <c r="I233" s="408"/>
      <c r="K233" s="322"/>
    </row>
    <row r="234" spans="1:11" s="17" customFormat="1" ht="16.5" customHeight="1" x14ac:dyDescent="0.2">
      <c r="A234" s="661"/>
      <c r="B234" s="661"/>
      <c r="C234" s="661"/>
      <c r="D234" s="661"/>
      <c r="E234" s="661"/>
      <c r="F234" s="661"/>
      <c r="G234" s="661"/>
      <c r="H234" s="661"/>
      <c r="I234" s="408"/>
      <c r="K234" s="322"/>
    </row>
    <row r="235" spans="1:11" s="17" customFormat="1" ht="16.5" customHeight="1" x14ac:dyDescent="0.2">
      <c r="A235" s="661"/>
      <c r="B235" s="661"/>
      <c r="C235" s="661"/>
      <c r="D235" s="661"/>
      <c r="E235" s="661"/>
      <c r="F235" s="661"/>
      <c r="G235" s="661"/>
      <c r="H235" s="661"/>
      <c r="I235" s="408"/>
      <c r="K235" s="322"/>
    </row>
    <row r="236" spans="1:11" s="17" customFormat="1" ht="16.5" customHeight="1" x14ac:dyDescent="0.2">
      <c r="A236" s="524"/>
      <c r="B236" s="524"/>
      <c r="C236" s="524"/>
      <c r="D236" s="524"/>
      <c r="E236" s="524"/>
      <c r="F236" s="524"/>
      <c r="G236" s="524"/>
      <c r="H236" s="524"/>
      <c r="I236" s="408"/>
      <c r="K236" s="322"/>
    </row>
    <row r="237" spans="1:11" s="17" customFormat="1" ht="16.5" customHeight="1" x14ac:dyDescent="0.2">
      <c r="A237" s="524"/>
      <c r="B237" s="524"/>
      <c r="C237" s="524"/>
      <c r="D237" s="524"/>
      <c r="E237" s="524"/>
      <c r="F237" s="524"/>
      <c r="G237" s="524"/>
      <c r="H237" s="524"/>
      <c r="I237" s="39"/>
      <c r="K237" s="322"/>
    </row>
    <row r="238" spans="1:11" s="17" customFormat="1" ht="16.5" customHeight="1" x14ac:dyDescent="0.2">
      <c r="A238" s="524"/>
      <c r="B238" s="524"/>
      <c r="C238" s="524"/>
      <c r="D238" s="524"/>
      <c r="E238" s="524"/>
      <c r="F238" s="524"/>
      <c r="G238" s="524"/>
      <c r="H238" s="524"/>
      <c r="I238" s="408">
        <v>3</v>
      </c>
      <c r="K238" s="322"/>
    </row>
    <row r="239" spans="1:11" s="17" customFormat="1" ht="16.5" customHeight="1" x14ac:dyDescent="0.2">
      <c r="A239" s="661"/>
      <c r="B239" s="661"/>
      <c r="C239" s="661"/>
      <c r="D239" s="661"/>
      <c r="E239" s="661"/>
      <c r="F239" s="661"/>
      <c r="G239" s="661"/>
      <c r="H239" s="661"/>
      <c r="I239" s="408"/>
      <c r="K239" s="322"/>
    </row>
    <row r="240" spans="1:11" s="17" customFormat="1" ht="16.5" customHeight="1" x14ac:dyDescent="0.2">
      <c r="A240" s="661"/>
      <c r="B240" s="661"/>
      <c r="C240" s="661"/>
      <c r="D240" s="661"/>
      <c r="E240" s="661"/>
      <c r="F240" s="661"/>
      <c r="G240" s="661"/>
      <c r="H240" s="661"/>
      <c r="I240" s="408"/>
      <c r="K240" s="322"/>
    </row>
    <row r="241" spans="1:11" s="17" customFormat="1" ht="16.5" customHeight="1" x14ac:dyDescent="0.2">
      <c r="A241" s="661"/>
      <c r="B241" s="661"/>
      <c r="C241" s="661"/>
      <c r="D241" s="661"/>
      <c r="E241" s="661"/>
      <c r="F241" s="661"/>
      <c r="G241" s="661"/>
      <c r="H241" s="661"/>
      <c r="I241" s="408"/>
      <c r="K241" s="322"/>
    </row>
    <row r="242" spans="1:11" s="17" customFormat="1" ht="16.5" customHeight="1" x14ac:dyDescent="0.2">
      <c r="A242" s="797" t="s">
        <v>578</v>
      </c>
      <c r="B242" s="797"/>
      <c r="C242" s="797"/>
      <c r="D242" s="797"/>
      <c r="E242" s="797"/>
      <c r="F242" s="797"/>
      <c r="G242" s="797"/>
      <c r="H242" s="797"/>
      <c r="I242" s="797"/>
      <c r="K242" s="322"/>
    </row>
    <row r="243" spans="1:11" s="17" customFormat="1" ht="16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K243" s="322"/>
    </row>
    <row r="244" spans="1:11" s="17" customFormat="1" ht="16.5" customHeight="1" x14ac:dyDescent="0.2">
      <c r="A244" s="524"/>
      <c r="B244" s="720" t="s">
        <v>579</v>
      </c>
      <c r="C244" s="720"/>
      <c r="D244" s="720"/>
      <c r="E244" s="720"/>
      <c r="F244" s="720"/>
      <c r="G244" s="720"/>
      <c r="H244" s="720"/>
      <c r="I244" s="720"/>
      <c r="K244" s="322"/>
    </row>
    <row r="245" spans="1:11" s="17" customFormat="1" ht="16.5" customHeight="1" x14ac:dyDescent="0.2">
      <c r="A245" s="720" t="s">
        <v>580</v>
      </c>
      <c r="B245" s="720"/>
      <c r="C245" s="720"/>
      <c r="D245" s="720"/>
      <c r="E245" s="720"/>
      <c r="F245" s="720"/>
      <c r="G245" s="720"/>
      <c r="H245" s="720"/>
      <c r="I245" s="720"/>
      <c r="K245" s="322"/>
    </row>
    <row r="246" spans="1:11" s="17" customFormat="1" ht="16.5" customHeight="1" x14ac:dyDescent="0.2">
      <c r="A246" s="541"/>
      <c r="B246" s="541"/>
      <c r="C246" s="21"/>
      <c r="D246" s="876" t="s">
        <v>85</v>
      </c>
      <c r="E246" s="876"/>
      <c r="F246" s="876"/>
      <c r="G246" s="541"/>
      <c r="H246" s="541"/>
      <c r="I246" s="541"/>
      <c r="K246" s="322"/>
    </row>
    <row r="247" spans="1:11" s="17" customFormat="1" ht="16.5" customHeight="1" x14ac:dyDescent="0.2">
      <c r="A247" s="541"/>
      <c r="B247" s="541"/>
      <c r="C247" s="21"/>
      <c r="D247" s="877"/>
      <c r="E247" s="877"/>
      <c r="F247" s="877"/>
      <c r="G247" s="541"/>
      <c r="H247" s="541"/>
      <c r="I247" s="541"/>
      <c r="K247" s="322"/>
    </row>
    <row r="248" spans="1:11" s="17" customFormat="1" ht="16.5" customHeight="1" x14ac:dyDescent="0.2">
      <c r="A248" s="572" t="s">
        <v>48</v>
      </c>
      <c r="B248" s="702" t="s">
        <v>49</v>
      </c>
      <c r="C248" s="703"/>
      <c r="D248" s="380" t="s">
        <v>86</v>
      </c>
      <c r="E248" s="530" t="s">
        <v>51</v>
      </c>
      <c r="F248" s="40" t="s">
        <v>87</v>
      </c>
      <c r="G248" s="844" t="s">
        <v>52</v>
      </c>
      <c r="H248" s="845"/>
      <c r="I248" s="708" t="s">
        <v>53</v>
      </c>
    </row>
    <row r="249" spans="1:11" s="17" customFormat="1" ht="16.5" customHeight="1" x14ac:dyDescent="0.2">
      <c r="A249" s="573" t="s">
        <v>88</v>
      </c>
      <c r="B249" s="704"/>
      <c r="C249" s="705"/>
      <c r="D249" s="381" t="s">
        <v>541</v>
      </c>
      <c r="E249" s="41" t="s">
        <v>573</v>
      </c>
      <c r="F249" s="42" t="s">
        <v>607</v>
      </c>
      <c r="G249" s="24" t="s">
        <v>55</v>
      </c>
      <c r="H249" s="24" t="s">
        <v>56</v>
      </c>
      <c r="I249" s="769"/>
    </row>
    <row r="250" spans="1:11" s="17" customFormat="1" ht="16.5" customHeight="1" x14ac:dyDescent="0.2">
      <c r="A250" s="43" t="s">
        <v>62</v>
      </c>
      <c r="B250" s="874" t="s">
        <v>12</v>
      </c>
      <c r="C250" s="875"/>
      <c r="D250" s="522" t="s">
        <v>14</v>
      </c>
      <c r="E250" s="44" t="s">
        <v>510</v>
      </c>
      <c r="F250" s="43">
        <v>5</v>
      </c>
      <c r="G250" s="41">
        <v>6</v>
      </c>
      <c r="H250" s="41">
        <v>7</v>
      </c>
      <c r="I250" s="43">
        <v>8</v>
      </c>
    </row>
    <row r="251" spans="1:11" s="17" customFormat="1" ht="16.5" customHeight="1" x14ac:dyDescent="0.2">
      <c r="A251" s="45">
        <v>16019</v>
      </c>
      <c r="B251" s="851" t="s">
        <v>57</v>
      </c>
      <c r="C251" s="852"/>
      <c r="D251" s="46">
        <v>0</v>
      </c>
      <c r="E251" s="46">
        <v>1</v>
      </c>
      <c r="F251" s="46">
        <v>0</v>
      </c>
      <c r="G251" s="47" t="e">
        <f t="shared" ref="G251:G258" si="4">F251/D251</f>
        <v>#DIV/0!</v>
      </c>
      <c r="H251" s="48">
        <f>F251/E251</f>
        <v>0</v>
      </c>
      <c r="I251" s="48">
        <f>F251/F366</f>
        <v>0</v>
      </c>
    </row>
    <row r="252" spans="1:11" s="17" customFormat="1" ht="16.5" customHeight="1" x14ac:dyDescent="0.2">
      <c r="A252" s="49">
        <v>163</v>
      </c>
      <c r="B252" s="870" t="s">
        <v>59</v>
      </c>
      <c r="C252" s="871"/>
      <c r="D252" s="447">
        <f>D253</f>
        <v>129329.5</v>
      </c>
      <c r="E252" s="446">
        <f>E253</f>
        <v>180000</v>
      </c>
      <c r="F252" s="447">
        <f>F253</f>
        <v>108794.15</v>
      </c>
      <c r="G252" s="50">
        <f t="shared" si="4"/>
        <v>0.84121681441589113</v>
      </c>
      <c r="H252" s="51">
        <f>F252/E252</f>
        <v>0.60441194444444446</v>
      </c>
      <c r="I252" s="52">
        <f>F253/F252</f>
        <v>1</v>
      </c>
    </row>
    <row r="253" spans="1:11" s="17" customFormat="1" ht="16.5" customHeight="1" x14ac:dyDescent="0.2">
      <c r="A253" s="53">
        <v>16319</v>
      </c>
      <c r="B253" s="872" t="s">
        <v>89</v>
      </c>
      <c r="C253" s="873"/>
      <c r="D253" s="54">
        <f>D262</f>
        <v>129329.5</v>
      </c>
      <c r="E253" s="55">
        <f>E262</f>
        <v>180000</v>
      </c>
      <c r="F253" s="54">
        <f>F262</f>
        <v>108794.15</v>
      </c>
      <c r="G253" s="56">
        <f t="shared" si="4"/>
        <v>0.84121681441589113</v>
      </c>
      <c r="H253" s="57">
        <f>H262</f>
        <v>0.60441194444444446</v>
      </c>
      <c r="I253" s="58">
        <f>H253/H252</f>
        <v>1</v>
      </c>
    </row>
    <row r="254" spans="1:11" s="17" customFormat="1" ht="16.5" customHeight="1" x14ac:dyDescent="0.2">
      <c r="A254" s="59">
        <v>50013</v>
      </c>
      <c r="B254" s="782" t="s">
        <v>90</v>
      </c>
      <c r="C254" s="783"/>
      <c r="D254" s="60">
        <v>13486</v>
      </c>
      <c r="E254" s="494">
        <v>14000</v>
      </c>
      <c r="F254" s="60">
        <v>10975</v>
      </c>
      <c r="G254" s="62">
        <f t="shared" si="4"/>
        <v>0.81380691087053236</v>
      </c>
      <c r="H254" s="63">
        <f>F254/E254</f>
        <v>0.78392857142857142</v>
      </c>
      <c r="I254" s="64">
        <f>F254/F262</f>
        <v>0.10087858584308072</v>
      </c>
    </row>
    <row r="255" spans="1:11" s="17" customFormat="1" ht="16.5" customHeight="1" x14ac:dyDescent="0.2">
      <c r="A255" s="59">
        <v>50014</v>
      </c>
      <c r="B255" s="782" t="s">
        <v>91</v>
      </c>
      <c r="C255" s="783"/>
      <c r="D255" s="60">
        <v>4893</v>
      </c>
      <c r="E255" s="494">
        <v>10000</v>
      </c>
      <c r="F255" s="60">
        <v>5820</v>
      </c>
      <c r="G255" s="65">
        <f t="shared" si="4"/>
        <v>1.1894543225015328</v>
      </c>
      <c r="H255" s="63">
        <f>F255/E255</f>
        <v>0.58199999999999996</v>
      </c>
      <c r="I255" s="64">
        <f>F255/F262</f>
        <v>5.3495523426581301E-2</v>
      </c>
    </row>
    <row r="256" spans="1:11" s="17" customFormat="1" ht="16.5" customHeight="1" x14ac:dyDescent="0.2">
      <c r="A256" s="59">
        <v>50015</v>
      </c>
      <c r="B256" s="782" t="s">
        <v>92</v>
      </c>
      <c r="C256" s="783"/>
      <c r="D256" s="60">
        <v>4349</v>
      </c>
      <c r="E256" s="494">
        <v>5000</v>
      </c>
      <c r="F256" s="60">
        <v>3552</v>
      </c>
      <c r="G256" s="65">
        <f t="shared" si="4"/>
        <v>0.81673948034030808</v>
      </c>
      <c r="H256" s="63">
        <f>F256/E256</f>
        <v>0.71040000000000003</v>
      </c>
      <c r="I256" s="64">
        <f>F256/F262</f>
        <v>3.264881429745993E-2</v>
      </c>
    </row>
    <row r="257" spans="1:11" s="17" customFormat="1" ht="16.5" customHeight="1" x14ac:dyDescent="0.2">
      <c r="A257" s="59">
        <v>50016</v>
      </c>
      <c r="B257" s="782" t="s">
        <v>93</v>
      </c>
      <c r="C257" s="783"/>
      <c r="D257" s="60">
        <v>95084</v>
      </c>
      <c r="E257" s="494">
        <v>135000</v>
      </c>
      <c r="F257" s="60">
        <v>77412</v>
      </c>
      <c r="G257" s="65">
        <f t="shared" si="4"/>
        <v>0.81414328383324219</v>
      </c>
      <c r="H257" s="63">
        <f>F257/E257</f>
        <v>0.57342222222222228</v>
      </c>
      <c r="I257" s="64">
        <f>F257/F262</f>
        <v>0.71154561159768248</v>
      </c>
    </row>
    <row r="258" spans="1:11" s="17" customFormat="1" ht="16.5" customHeight="1" x14ac:dyDescent="0.2">
      <c r="A258" s="59">
        <v>50017</v>
      </c>
      <c r="B258" s="788" t="s">
        <v>398</v>
      </c>
      <c r="C258" s="789"/>
      <c r="D258" s="60">
        <v>3202.5</v>
      </c>
      <c r="E258" s="494">
        <v>3500</v>
      </c>
      <c r="F258" s="60">
        <v>3695</v>
      </c>
      <c r="G258" s="65">
        <f t="shared" si="4"/>
        <v>1.1537861046057767</v>
      </c>
      <c r="H258" s="63">
        <f>F258/E258</f>
        <v>1.0557142857142856</v>
      </c>
      <c r="I258" s="64">
        <f>F258/F262</f>
        <v>3.3963223206394832E-2</v>
      </c>
      <c r="K258" s="477"/>
    </row>
    <row r="259" spans="1:11" s="17" customFormat="1" ht="16.5" customHeight="1" x14ac:dyDescent="0.2">
      <c r="A259" s="59">
        <v>50018</v>
      </c>
      <c r="B259" s="782" t="s">
        <v>94</v>
      </c>
      <c r="C259" s="783"/>
      <c r="D259" s="60">
        <v>4822</v>
      </c>
      <c r="E259" s="494">
        <v>7000</v>
      </c>
      <c r="F259" s="60">
        <v>3760</v>
      </c>
      <c r="G259" s="65">
        <f>F259/D260</f>
        <v>1.0764385914686516</v>
      </c>
      <c r="H259" s="63">
        <f>F259/E260</f>
        <v>0.6836363636363636</v>
      </c>
      <c r="I259" s="64">
        <f>F259/F262</f>
        <v>3.4560681801365241E-2</v>
      </c>
    </row>
    <row r="260" spans="1:11" s="17" customFormat="1" ht="16.5" customHeight="1" x14ac:dyDescent="0.2">
      <c r="A260" s="59">
        <v>50019</v>
      </c>
      <c r="B260" s="782" t="s">
        <v>95</v>
      </c>
      <c r="C260" s="783"/>
      <c r="D260" s="66">
        <v>3493</v>
      </c>
      <c r="E260" s="494">
        <v>5500</v>
      </c>
      <c r="F260" s="66">
        <f>8+3000</f>
        <v>3008</v>
      </c>
      <c r="G260" s="65">
        <f t="shared" ref="G260:G281" si="5">F260/D260</f>
        <v>0.86115087317492123</v>
      </c>
      <c r="H260" s="63">
        <f>E260/D260</f>
        <v>1.574577726882336</v>
      </c>
      <c r="I260" s="64">
        <f>F260/F262</f>
        <v>2.7648545441092194E-2</v>
      </c>
    </row>
    <row r="261" spans="1:11" s="17" customFormat="1" ht="16.5" customHeight="1" x14ac:dyDescent="0.2">
      <c r="A261" s="59">
        <v>50000</v>
      </c>
      <c r="B261" s="782" t="s">
        <v>608</v>
      </c>
      <c r="C261" s="783"/>
      <c r="D261" s="66">
        <v>0</v>
      </c>
      <c r="E261" s="61"/>
      <c r="F261" s="66">
        <v>572.15</v>
      </c>
      <c r="G261" s="65" t="e">
        <f t="shared" si="5"/>
        <v>#DIV/0!</v>
      </c>
      <c r="H261" s="63" t="e">
        <f>G261/E261</f>
        <v>#DIV/0!</v>
      </c>
      <c r="I261" s="64">
        <f>F261/F262</f>
        <v>5.2590143863433837E-3</v>
      </c>
    </row>
    <row r="262" spans="1:11" s="17" customFormat="1" ht="16.5" customHeight="1" x14ac:dyDescent="0.2">
      <c r="A262" s="531"/>
      <c r="B262" s="784" t="s">
        <v>97</v>
      </c>
      <c r="C262" s="785"/>
      <c r="D262" s="487">
        <f>SUM(D254:D261)</f>
        <v>129329.5</v>
      </c>
      <c r="E262" s="488">
        <f>E254+E255+E256+E257+E258+E259+E260</f>
        <v>180000</v>
      </c>
      <c r="F262" s="67">
        <f>F254+F255+F256+F257+F258+F259+F260+F261</f>
        <v>108794.15</v>
      </c>
      <c r="G262" s="69">
        <f t="shared" si="5"/>
        <v>0.84121681441589113</v>
      </c>
      <c r="H262" s="70">
        <f t="shared" ref="H262:H283" si="6">F262/E262</f>
        <v>0.60441194444444446</v>
      </c>
      <c r="I262" s="71">
        <f>I254+I255+I256+I257+I258+I259+I260</f>
        <v>0.99474098561365687</v>
      </c>
    </row>
    <row r="263" spans="1:11" s="17" customFormat="1" ht="16.5" customHeight="1" x14ac:dyDescent="0.2">
      <c r="A263" s="72">
        <v>16637</v>
      </c>
      <c r="B263" s="851" t="s">
        <v>98</v>
      </c>
      <c r="C263" s="852"/>
      <c r="D263" s="46">
        <f>D264+D265+D266+D267+D268+D270</f>
        <v>58695</v>
      </c>
      <c r="E263" s="46">
        <f t="shared" ref="E263:F263" si="7">E269+E270</f>
        <v>42000</v>
      </c>
      <c r="F263" s="46">
        <f t="shared" si="7"/>
        <v>80856.7</v>
      </c>
      <c r="G263" s="48">
        <f t="shared" si="5"/>
        <v>1.3775738989692479</v>
      </c>
      <c r="H263" s="73">
        <f t="shared" si="6"/>
        <v>1.9251595238095238</v>
      </c>
      <c r="I263" s="48">
        <f>F263/F366</f>
        <v>2.1681473546379063E-2</v>
      </c>
    </row>
    <row r="264" spans="1:11" s="17" customFormat="1" ht="16.5" customHeight="1" x14ac:dyDescent="0.2">
      <c r="A264" s="77">
        <v>50104</v>
      </c>
      <c r="B264" s="774" t="s">
        <v>100</v>
      </c>
      <c r="C264" s="775"/>
      <c r="D264" s="74">
        <v>11650</v>
      </c>
      <c r="E264" s="468">
        <v>18000</v>
      </c>
      <c r="F264" s="74">
        <v>7141.7</v>
      </c>
      <c r="G264" s="78">
        <f t="shared" si="5"/>
        <v>0.61302145922746776</v>
      </c>
      <c r="H264" s="78">
        <f t="shared" si="6"/>
        <v>0.39676111111111112</v>
      </c>
      <c r="I264" s="78">
        <f>F264/F269</f>
        <v>0.28888385507469144</v>
      </c>
    </row>
    <row r="265" spans="1:11" s="17" customFormat="1" ht="16.5" customHeight="1" x14ac:dyDescent="0.2">
      <c r="A265" s="79">
        <v>50205</v>
      </c>
      <c r="B265" s="712" t="s">
        <v>101</v>
      </c>
      <c r="C265" s="713"/>
      <c r="D265" s="74">
        <v>3300</v>
      </c>
      <c r="E265" s="468">
        <v>18000</v>
      </c>
      <c r="F265" s="74">
        <v>17580</v>
      </c>
      <c r="G265" s="78">
        <f t="shared" si="5"/>
        <v>5.3272727272727272</v>
      </c>
      <c r="H265" s="78">
        <f t="shared" si="6"/>
        <v>0.97666666666666668</v>
      </c>
      <c r="I265" s="78">
        <f>F265/F269</f>
        <v>0.7111161449253085</v>
      </c>
    </row>
    <row r="266" spans="1:11" s="17" customFormat="1" ht="16.5" customHeight="1" x14ac:dyDescent="0.2">
      <c r="A266" s="79">
        <v>50501</v>
      </c>
      <c r="B266" s="868" t="s">
        <v>102</v>
      </c>
      <c r="C266" s="869"/>
      <c r="D266" s="74">
        <v>0</v>
      </c>
      <c r="E266" s="468">
        <v>1000</v>
      </c>
      <c r="F266" s="74">
        <v>0</v>
      </c>
      <c r="G266" s="78" t="e">
        <f t="shared" si="5"/>
        <v>#DIV/0!</v>
      </c>
      <c r="H266" s="78">
        <f t="shared" si="6"/>
        <v>0</v>
      </c>
      <c r="I266" s="78">
        <f>F266/F269</f>
        <v>0</v>
      </c>
    </row>
    <row r="267" spans="1:11" s="17" customFormat="1" ht="16.5" customHeight="1" x14ac:dyDescent="0.2">
      <c r="A267" s="79">
        <v>50505</v>
      </c>
      <c r="B267" s="868" t="s">
        <v>103</v>
      </c>
      <c r="C267" s="869"/>
      <c r="D267" s="74">
        <v>0</v>
      </c>
      <c r="E267" s="468">
        <v>0</v>
      </c>
      <c r="F267" s="74">
        <v>0</v>
      </c>
      <c r="G267" s="78" t="e">
        <f t="shared" si="5"/>
        <v>#DIV/0!</v>
      </c>
      <c r="H267" s="78" t="e">
        <f t="shared" si="6"/>
        <v>#DIV/0!</v>
      </c>
      <c r="I267" s="78">
        <f>F267/F269</f>
        <v>0</v>
      </c>
    </row>
    <row r="268" spans="1:11" s="17" customFormat="1" ht="16.5" customHeight="1" x14ac:dyDescent="0.2">
      <c r="A268" s="79">
        <v>50507</v>
      </c>
      <c r="B268" s="868" t="s">
        <v>104</v>
      </c>
      <c r="C268" s="869"/>
      <c r="D268" s="74">
        <v>70</v>
      </c>
      <c r="E268" s="468">
        <v>5000</v>
      </c>
      <c r="F268" s="74">
        <v>0</v>
      </c>
      <c r="G268" s="78">
        <f t="shared" si="5"/>
        <v>0</v>
      </c>
      <c r="H268" s="78">
        <f t="shared" si="6"/>
        <v>0</v>
      </c>
      <c r="I268" s="78">
        <f>F268/F269</f>
        <v>0</v>
      </c>
    </row>
    <row r="269" spans="1:11" s="17" customFormat="1" ht="16.5" customHeight="1" x14ac:dyDescent="0.2">
      <c r="A269" s="79"/>
      <c r="B269" s="750" t="s">
        <v>97</v>
      </c>
      <c r="C269" s="751"/>
      <c r="D269" s="80">
        <f>D264+D265+D266+D267+D268</f>
        <v>15020</v>
      </c>
      <c r="E269" s="80">
        <f t="shared" ref="E269" si="8">E264+E265+E266+E267+E268</f>
        <v>42000</v>
      </c>
      <c r="F269" s="80">
        <f>F264+F265+F266+F267+F268</f>
        <v>24721.7</v>
      </c>
      <c r="G269" s="29">
        <f t="shared" si="5"/>
        <v>1.645918774966711</v>
      </c>
      <c r="H269" s="29">
        <f t="shared" si="6"/>
        <v>0.58861190476190473</v>
      </c>
      <c r="I269" s="29">
        <f>F269/F263</f>
        <v>0.30574708094690978</v>
      </c>
    </row>
    <row r="270" spans="1:11" s="17" customFormat="1" ht="16.5" customHeight="1" x14ac:dyDescent="0.2">
      <c r="A270" s="97">
        <v>50102</v>
      </c>
      <c r="B270" s="866" t="s">
        <v>99</v>
      </c>
      <c r="C270" s="867"/>
      <c r="D270" s="330">
        <f>30235+13440</f>
        <v>43675</v>
      </c>
      <c r="E270" s="80">
        <v>0</v>
      </c>
      <c r="F270" s="330">
        <f>16990+17005+22140</f>
        <v>56135</v>
      </c>
      <c r="G270" s="29">
        <f t="shared" si="5"/>
        <v>1.2852890669719519</v>
      </c>
      <c r="H270" s="29" t="e">
        <f t="shared" si="6"/>
        <v>#DIV/0!</v>
      </c>
      <c r="I270" s="29">
        <f>F270/F263</f>
        <v>0.69425291905309028</v>
      </c>
    </row>
    <row r="271" spans="1:11" s="17" customFormat="1" ht="16.5" customHeight="1" x14ac:dyDescent="0.2">
      <c r="A271" s="45">
        <v>17519</v>
      </c>
      <c r="B271" s="851" t="s">
        <v>25</v>
      </c>
      <c r="C271" s="852"/>
      <c r="D271" s="46">
        <f>D278+D279+D280</f>
        <v>3084137.9</v>
      </c>
      <c r="E271" s="46">
        <f t="shared" ref="E271" si="9">E278+E279+E280</f>
        <v>3495558</v>
      </c>
      <c r="F271" s="46">
        <f>F278+F279+F280</f>
        <v>3433140.59</v>
      </c>
      <c r="G271" s="48">
        <f t="shared" si="5"/>
        <v>1.1131605334508552</v>
      </c>
      <c r="H271" s="48">
        <f t="shared" si="6"/>
        <v>0.98214379220713832</v>
      </c>
      <c r="I271" s="48">
        <f>F271/F366</f>
        <v>0.92058601059757839</v>
      </c>
    </row>
    <row r="272" spans="1:11" s="17" customFormat="1" ht="16.5" customHeight="1" x14ac:dyDescent="0.2">
      <c r="A272" s="81">
        <v>40110</v>
      </c>
      <c r="B272" s="716" t="s">
        <v>105</v>
      </c>
      <c r="C272" s="717"/>
      <c r="D272" s="82">
        <v>2227721.9</v>
      </c>
      <c r="E272" s="425">
        <v>2683681</v>
      </c>
      <c r="F272" s="82">
        <v>1537402.81</v>
      </c>
      <c r="G272" s="84">
        <f t="shared" si="5"/>
        <v>0.69012330937717137</v>
      </c>
      <c r="H272" s="85">
        <f t="shared" si="6"/>
        <v>0.57287092243824811</v>
      </c>
      <c r="I272" s="76">
        <f>F272/F278</f>
        <v>0.87642719514525669</v>
      </c>
    </row>
    <row r="273" spans="1:9" s="17" customFormat="1" ht="16.5" customHeight="1" x14ac:dyDescent="0.2">
      <c r="A273" s="81"/>
      <c r="B273" s="716" t="s">
        <v>106</v>
      </c>
      <c r="C273" s="717"/>
      <c r="D273" s="82">
        <v>0</v>
      </c>
      <c r="E273" s="425">
        <v>571877</v>
      </c>
      <c r="F273" s="82">
        <v>0</v>
      </c>
      <c r="G273" s="84" t="e">
        <f t="shared" si="5"/>
        <v>#DIV/0!</v>
      </c>
      <c r="H273" s="85">
        <f t="shared" si="6"/>
        <v>0</v>
      </c>
      <c r="I273" s="76">
        <f>F273/F278</f>
        <v>0</v>
      </c>
    </row>
    <row r="274" spans="1:9" s="17" customFormat="1" ht="16.5" customHeight="1" x14ac:dyDescent="0.2">
      <c r="A274" s="79">
        <v>50001</v>
      </c>
      <c r="B274" s="712" t="s">
        <v>107</v>
      </c>
      <c r="C274" s="713"/>
      <c r="D274" s="82">
        <v>193485</v>
      </c>
      <c r="E274" s="425">
        <v>240000</v>
      </c>
      <c r="F274" s="82">
        <v>211867</v>
      </c>
      <c r="G274" s="84">
        <f t="shared" si="5"/>
        <v>1.0950047807323564</v>
      </c>
      <c r="H274" s="85">
        <f t="shared" si="6"/>
        <v>0.88277916666666667</v>
      </c>
      <c r="I274" s="76">
        <f>F274/F278</f>
        <v>0.12077901727904353</v>
      </c>
    </row>
    <row r="275" spans="1:9" s="17" customFormat="1" ht="16.5" customHeight="1" x14ac:dyDescent="0.2">
      <c r="A275" s="79">
        <v>50017</v>
      </c>
      <c r="B275" s="712" t="s">
        <v>399</v>
      </c>
      <c r="C275" s="713"/>
      <c r="D275" s="82"/>
      <c r="E275" s="424">
        <v>0</v>
      </c>
      <c r="F275" s="82"/>
      <c r="G275" s="86" t="e">
        <f t="shared" si="5"/>
        <v>#DIV/0!</v>
      </c>
      <c r="H275" s="87" t="e">
        <f t="shared" si="6"/>
        <v>#DIV/0!</v>
      </c>
      <c r="I275" s="76">
        <f>F275/F278</f>
        <v>0</v>
      </c>
    </row>
    <row r="276" spans="1:9" s="17" customFormat="1" ht="16.5" customHeight="1" x14ac:dyDescent="0.2">
      <c r="A276" s="81">
        <v>50019</v>
      </c>
      <c r="B276" s="712" t="s">
        <v>95</v>
      </c>
      <c r="C276" s="713"/>
      <c r="D276" s="82">
        <v>0</v>
      </c>
      <c r="E276" s="424">
        <v>0</v>
      </c>
      <c r="F276" s="82">
        <v>0</v>
      </c>
      <c r="G276" s="86" t="e">
        <f>F276/D276</f>
        <v>#DIV/0!</v>
      </c>
      <c r="H276" s="87" t="e">
        <f>F276/E276</f>
        <v>#DIV/0!</v>
      </c>
      <c r="I276" s="76">
        <f>F276/F278</f>
        <v>0</v>
      </c>
    </row>
    <row r="277" spans="1:9" s="17" customFormat="1" ht="16.5" customHeight="1" x14ac:dyDescent="0.2">
      <c r="A277" s="81">
        <v>50000</v>
      </c>
      <c r="B277" s="864" t="s">
        <v>608</v>
      </c>
      <c r="C277" s="865"/>
      <c r="D277" s="82"/>
      <c r="E277" s="424">
        <v>0</v>
      </c>
      <c r="F277" s="82">
        <v>4900.78</v>
      </c>
      <c r="G277" s="86"/>
      <c r="H277" s="87" t="e">
        <f>F277/E277</f>
        <v>#DIV/0!</v>
      </c>
      <c r="I277" s="76"/>
    </row>
    <row r="278" spans="1:9" s="17" customFormat="1" ht="16.5" customHeight="1" x14ac:dyDescent="0.2">
      <c r="A278" s="81"/>
      <c r="B278" s="736" t="s">
        <v>97</v>
      </c>
      <c r="C278" s="737"/>
      <c r="D278" s="88">
        <f>D272+D273+D274+D275+D276</f>
        <v>2421206.9</v>
      </c>
      <c r="E278" s="425">
        <f>E272+E273+E274+E275+E276+E277</f>
        <v>3495558</v>
      </c>
      <c r="F278" s="88">
        <f>F272+F273+F274+F275+F276+F277</f>
        <v>1754170.59</v>
      </c>
      <c r="G278" s="27">
        <f>F278/D278</f>
        <v>0.72450255696859289</v>
      </c>
      <c r="H278" s="28">
        <f>F278/E278</f>
        <v>0.50182848918541767</v>
      </c>
      <c r="I278" s="29">
        <f>F278/F271</f>
        <v>0.51095215707434816</v>
      </c>
    </row>
    <row r="279" spans="1:9" s="17" customFormat="1" ht="16.5" customHeight="1" x14ac:dyDescent="0.2">
      <c r="A279" s="331">
        <v>50101</v>
      </c>
      <c r="B279" s="736" t="s">
        <v>108</v>
      </c>
      <c r="C279" s="737"/>
      <c r="D279" s="88">
        <f>406861+256070</f>
        <v>662931</v>
      </c>
      <c r="E279" s="332">
        <v>0</v>
      </c>
      <c r="F279" s="88">
        <f>159759+250244+358878.5</f>
        <v>768881.5</v>
      </c>
      <c r="G279" s="116">
        <f>F279/D279</f>
        <v>1.1598213087033191</v>
      </c>
      <c r="H279" s="122" t="e">
        <f>F279/E279</f>
        <v>#DIV/0!</v>
      </c>
      <c r="I279" s="29">
        <f>F279/F278</f>
        <v>0.43831626432637888</v>
      </c>
    </row>
    <row r="280" spans="1:9" s="17" customFormat="1" ht="16.5" customHeight="1" x14ac:dyDescent="0.2">
      <c r="A280" s="89"/>
      <c r="B280" s="862" t="s">
        <v>140</v>
      </c>
      <c r="C280" s="863"/>
      <c r="D280" s="90">
        <f>D281+D282</f>
        <v>0</v>
      </c>
      <c r="E280" s="90"/>
      <c r="F280" s="90">
        <f>F281+F282</f>
        <v>910088.5</v>
      </c>
      <c r="G280" s="27" t="e">
        <f t="shared" si="5"/>
        <v>#DIV/0!</v>
      </c>
      <c r="H280" s="28" t="e">
        <f t="shared" si="6"/>
        <v>#DIV/0!</v>
      </c>
      <c r="I280" s="324">
        <f>F280/F271</f>
        <v>0.26508920218731852</v>
      </c>
    </row>
    <row r="281" spans="1:9" s="17" customFormat="1" ht="16.5" customHeight="1" x14ac:dyDescent="0.2">
      <c r="A281" s="79"/>
      <c r="B281" s="759" t="s">
        <v>111</v>
      </c>
      <c r="C281" s="760"/>
      <c r="D281" s="391">
        <v>0</v>
      </c>
      <c r="E281" s="74">
        <v>0</v>
      </c>
      <c r="F281" s="391">
        <v>910088.5</v>
      </c>
      <c r="G281" s="86" t="e">
        <f t="shared" si="5"/>
        <v>#DIV/0!</v>
      </c>
      <c r="H281" s="87" t="e">
        <f t="shared" si="6"/>
        <v>#DIV/0!</v>
      </c>
      <c r="I281" s="325">
        <f>F281/F280</f>
        <v>1</v>
      </c>
    </row>
    <row r="282" spans="1:9" s="17" customFormat="1" ht="16.5" customHeight="1" x14ac:dyDescent="0.2">
      <c r="A282" s="79"/>
      <c r="B282" s="801"/>
      <c r="C282" s="802"/>
      <c r="D282" s="391">
        <v>0</v>
      </c>
      <c r="E282" s="74"/>
      <c r="F282" s="391"/>
      <c r="G282" s="86"/>
      <c r="H282" s="87"/>
      <c r="I282" s="325"/>
    </row>
    <row r="283" spans="1:9" s="17" customFormat="1" ht="16.5" customHeight="1" x14ac:dyDescent="0.2">
      <c r="A283" s="92">
        <v>180</v>
      </c>
      <c r="B283" s="790" t="s">
        <v>112</v>
      </c>
      <c r="C283" s="791"/>
      <c r="D283" s="93">
        <f t="shared" ref="D283:E283" si="10">D284</f>
        <v>45401.58</v>
      </c>
      <c r="E283" s="93">
        <f t="shared" si="10"/>
        <v>0</v>
      </c>
      <c r="F283" s="93">
        <f>F285+F286</f>
        <v>50136.31</v>
      </c>
      <c r="G283" s="48">
        <f>F283/D283</f>
        <v>1.1042855777265901</v>
      </c>
      <c r="H283" s="48" t="e">
        <f t="shared" si="6"/>
        <v>#DIV/0!</v>
      </c>
      <c r="I283" s="48">
        <f>F283/F366</f>
        <v>1.3443896164177615E-2</v>
      </c>
    </row>
    <row r="284" spans="1:9" s="17" customFormat="1" ht="16.5" customHeight="1" x14ac:dyDescent="0.2">
      <c r="A284" s="94">
        <v>18019</v>
      </c>
      <c r="B284" s="853" t="s">
        <v>400</v>
      </c>
      <c r="C284" s="854"/>
      <c r="D284" s="95">
        <f t="shared" ref="D284:E284" si="11">D287</f>
        <v>45401.58</v>
      </c>
      <c r="E284" s="95">
        <f t="shared" si="11"/>
        <v>0</v>
      </c>
      <c r="F284" s="95">
        <f>F287</f>
        <v>50136.31</v>
      </c>
      <c r="G284" s="96">
        <f>F283/D283</f>
        <v>1.1042855777265901</v>
      </c>
      <c r="H284" s="96" t="e">
        <f>F283/E283</f>
        <v>#DIV/0!</v>
      </c>
      <c r="I284" s="96">
        <f>F284/F283</f>
        <v>1</v>
      </c>
    </row>
    <row r="285" spans="1:9" s="17" customFormat="1" ht="16.5" customHeight="1" x14ac:dyDescent="0.2">
      <c r="A285" s="79">
        <v>50008</v>
      </c>
      <c r="B285" s="712" t="s">
        <v>113</v>
      </c>
      <c r="C285" s="713"/>
      <c r="D285" s="82">
        <v>11830</v>
      </c>
      <c r="E285" s="75">
        <v>0</v>
      </c>
      <c r="F285" s="82">
        <v>23430</v>
      </c>
      <c r="G285" s="86">
        <f t="shared" ref="G285:G328" si="12">F285/D285</f>
        <v>1.9805579036348266</v>
      </c>
      <c r="H285" s="87" t="e">
        <f>F285/E285</f>
        <v>#DIV/0!</v>
      </c>
      <c r="I285" s="76">
        <f>F285/F287</f>
        <v>0.46732597592443481</v>
      </c>
    </row>
    <row r="286" spans="1:9" s="17" customFormat="1" ht="16.5" customHeight="1" x14ac:dyDescent="0.2">
      <c r="A286" s="79">
        <v>50212</v>
      </c>
      <c r="B286" s="712" t="s">
        <v>114</v>
      </c>
      <c r="C286" s="713"/>
      <c r="D286" s="391">
        <v>33571.58</v>
      </c>
      <c r="E286" s="75">
        <v>0</v>
      </c>
      <c r="F286" s="391">
        <v>26706.31</v>
      </c>
      <c r="G286" s="86">
        <f t="shared" si="12"/>
        <v>0.79550351815434361</v>
      </c>
      <c r="H286" s="87" t="e">
        <f>F286/E286</f>
        <v>#DIV/0!</v>
      </c>
      <c r="I286" s="76">
        <f>F286/F287</f>
        <v>0.5326740240755653</v>
      </c>
    </row>
    <row r="287" spans="1:9" s="17" customFormat="1" ht="16.5" customHeight="1" x14ac:dyDescent="0.2">
      <c r="A287" s="97"/>
      <c r="B287" s="750" t="s">
        <v>97</v>
      </c>
      <c r="C287" s="751"/>
      <c r="D287" s="90">
        <f>D285+D286</f>
        <v>45401.58</v>
      </c>
      <c r="E287" s="90">
        <f>E285+E286</f>
        <v>0</v>
      </c>
      <c r="F287" s="90">
        <f>F285+F286</f>
        <v>50136.31</v>
      </c>
      <c r="G287" s="27">
        <f t="shared" si="12"/>
        <v>1.1042855777265901</v>
      </c>
      <c r="H287" s="28" t="e">
        <f t="shared" ref="H287:H328" si="13">F287/E287</f>
        <v>#DIV/0!</v>
      </c>
      <c r="I287" s="29">
        <f>F287/F284</f>
        <v>1</v>
      </c>
    </row>
    <row r="288" spans="1:9" s="17" customFormat="1" ht="16.5" customHeight="1" x14ac:dyDescent="0.2">
      <c r="A288" s="97">
        <v>18295</v>
      </c>
      <c r="B288" s="861" t="s">
        <v>473</v>
      </c>
      <c r="C288" s="861"/>
      <c r="D288" s="90">
        <v>0</v>
      </c>
      <c r="E288" s="90"/>
      <c r="F288" s="90"/>
      <c r="G288" s="27"/>
      <c r="H288" s="28"/>
      <c r="I288" s="29"/>
    </row>
    <row r="289" spans="1:9" s="17" customFormat="1" ht="16.5" customHeight="1" x14ac:dyDescent="0.2">
      <c r="A289" s="92">
        <v>47019</v>
      </c>
      <c r="B289" s="547" t="s">
        <v>71</v>
      </c>
      <c r="C289" s="548"/>
      <c r="D289" s="98">
        <f>D303+D305</f>
        <v>49246.54</v>
      </c>
      <c r="E289" s="98">
        <f>E303</f>
        <v>11897.6</v>
      </c>
      <c r="F289" s="98">
        <f>F303+F305</f>
        <v>57128.509999999995</v>
      </c>
      <c r="G289" s="48">
        <f>F289/D289</f>
        <v>1.1600512442092377</v>
      </c>
      <c r="H289" s="48">
        <f>F289/E289</f>
        <v>4.8016835328133398</v>
      </c>
      <c r="I289" s="48">
        <f>F289/F366</f>
        <v>1.5318832926758719E-2</v>
      </c>
    </row>
    <row r="290" spans="1:9" s="17" customFormat="1" ht="16.5" customHeight="1" x14ac:dyDescent="0.2">
      <c r="A290" s="79">
        <v>50012</v>
      </c>
      <c r="B290" s="712" t="s">
        <v>115</v>
      </c>
      <c r="C290" s="713"/>
      <c r="D290" s="82">
        <v>14566.54</v>
      </c>
      <c r="E290" s="75">
        <v>10816</v>
      </c>
      <c r="F290" s="82">
        <v>15639.7</v>
      </c>
      <c r="G290" s="86">
        <f>F290/D290</f>
        <v>1.0736729518471786</v>
      </c>
      <c r="H290" s="87">
        <f>F290/E290</f>
        <v>1.4459781804733729</v>
      </c>
      <c r="I290" s="76">
        <f>F290/F303</f>
        <v>0.93540553957307848</v>
      </c>
    </row>
    <row r="291" spans="1:9" s="17" customFormat="1" ht="16.5" customHeight="1" x14ac:dyDescent="0.2">
      <c r="A291" s="79">
        <v>50103</v>
      </c>
      <c r="B291" s="712" t="s">
        <v>474</v>
      </c>
      <c r="C291" s="713"/>
      <c r="D291" s="83">
        <v>0</v>
      </c>
      <c r="E291" s="75"/>
      <c r="F291" s="83"/>
      <c r="G291" s="86"/>
      <c r="H291" s="87"/>
      <c r="I291" s="76"/>
    </row>
    <row r="292" spans="1:9" s="17" customFormat="1" ht="16.5" customHeight="1" x14ac:dyDescent="0.2">
      <c r="A292" s="79">
        <v>500121</v>
      </c>
      <c r="B292" s="712" t="s">
        <v>116</v>
      </c>
      <c r="C292" s="713"/>
      <c r="D292" s="75">
        <v>0</v>
      </c>
      <c r="E292" s="75">
        <v>0</v>
      </c>
      <c r="F292" s="75">
        <v>0</v>
      </c>
      <c r="G292" s="86" t="e">
        <f>F292/D292</f>
        <v>#DIV/0!</v>
      </c>
      <c r="H292" s="87" t="e">
        <f>F292/E292</f>
        <v>#DIV/0!</v>
      </c>
      <c r="I292" s="76">
        <f>F292/F303</f>
        <v>0</v>
      </c>
    </row>
    <row r="293" spans="1:9" s="17" customFormat="1" ht="16.5" customHeight="1" x14ac:dyDescent="0.2">
      <c r="A293" s="79">
        <v>500122</v>
      </c>
      <c r="B293" s="762" t="s">
        <v>117</v>
      </c>
      <c r="C293" s="763"/>
      <c r="D293" s="75">
        <v>0</v>
      </c>
      <c r="E293" s="75">
        <v>0</v>
      </c>
      <c r="F293" s="75">
        <v>0</v>
      </c>
      <c r="G293" s="86" t="e">
        <f>F293/D293</f>
        <v>#DIV/0!</v>
      </c>
      <c r="H293" s="87" t="e">
        <f>F293/E293</f>
        <v>#DIV/0!</v>
      </c>
      <c r="I293" s="76">
        <f>F293/F303</f>
        <v>0</v>
      </c>
    </row>
    <row r="294" spans="1:9" s="17" customFormat="1" ht="16.5" customHeight="1" x14ac:dyDescent="0.2">
      <c r="I294" s="15"/>
    </row>
    <row r="295" spans="1:9" s="17" customFormat="1" ht="16.5" customHeight="1" x14ac:dyDescent="0.2">
      <c r="I295" s="15"/>
    </row>
    <row r="296" spans="1:9" s="17" customFormat="1" ht="16.5" customHeight="1" x14ac:dyDescent="0.2">
      <c r="I296" s="15"/>
    </row>
    <row r="297" spans="1:9" s="17" customFormat="1" ht="16.5" customHeight="1" x14ac:dyDescent="0.2">
      <c r="I297" s="260">
        <v>4</v>
      </c>
    </row>
    <row r="298" spans="1:9" s="17" customFormat="1" ht="16.5" customHeight="1" x14ac:dyDescent="0.2">
      <c r="A298" s="79">
        <v>500123</v>
      </c>
      <c r="B298" s="762" t="s">
        <v>118</v>
      </c>
      <c r="C298" s="763"/>
      <c r="D298" s="75">
        <v>0</v>
      </c>
      <c r="E298" s="75">
        <v>0</v>
      </c>
      <c r="F298" s="75">
        <v>0</v>
      </c>
      <c r="G298" s="86" t="e">
        <f t="shared" si="12"/>
        <v>#DIV/0!</v>
      </c>
      <c r="H298" s="87" t="e">
        <f t="shared" si="13"/>
        <v>#DIV/0!</v>
      </c>
      <c r="I298" s="76">
        <f>F298/F303</f>
        <v>0</v>
      </c>
    </row>
    <row r="299" spans="1:9" s="17" customFormat="1" ht="16.5" customHeight="1" x14ac:dyDescent="0.2">
      <c r="A299" s="79">
        <v>50020</v>
      </c>
      <c r="B299" s="712" t="s">
        <v>119</v>
      </c>
      <c r="C299" s="713"/>
      <c r="D299" s="75">
        <v>0</v>
      </c>
      <c r="E299" s="75">
        <v>0</v>
      </c>
      <c r="F299" s="75">
        <v>0</v>
      </c>
      <c r="G299" s="86" t="e">
        <f t="shared" si="12"/>
        <v>#DIV/0!</v>
      </c>
      <c r="H299" s="87" t="e">
        <f t="shared" si="13"/>
        <v>#DIV/0!</v>
      </c>
      <c r="I299" s="76">
        <f>F299/F303</f>
        <v>0</v>
      </c>
    </row>
    <row r="300" spans="1:9" s="17" customFormat="1" ht="16.5" customHeight="1" x14ac:dyDescent="0.2">
      <c r="A300" s="79">
        <v>50203</v>
      </c>
      <c r="B300" s="764" t="s">
        <v>120</v>
      </c>
      <c r="C300" s="765"/>
      <c r="D300" s="75">
        <v>0</v>
      </c>
      <c r="E300" s="75">
        <v>0</v>
      </c>
      <c r="F300" s="75">
        <v>0</v>
      </c>
      <c r="G300" s="86" t="e">
        <f>F300/D300</f>
        <v>#DIV/0!</v>
      </c>
      <c r="H300" s="87" t="e">
        <f>F300/E300</f>
        <v>#DIV/0!</v>
      </c>
      <c r="I300" s="76">
        <f>F300/F303</f>
        <v>0</v>
      </c>
    </row>
    <row r="301" spans="1:9" s="17" customFormat="1" ht="16.5" customHeight="1" x14ac:dyDescent="0.2">
      <c r="A301" s="79">
        <v>50403</v>
      </c>
      <c r="B301" s="762" t="s">
        <v>121</v>
      </c>
      <c r="C301" s="763"/>
      <c r="D301" s="75">
        <v>0</v>
      </c>
      <c r="E301" s="75">
        <v>0</v>
      </c>
      <c r="F301" s="75">
        <v>0</v>
      </c>
      <c r="G301" s="86" t="e">
        <f t="shared" si="12"/>
        <v>#DIV/0!</v>
      </c>
      <c r="H301" s="87" t="e">
        <f t="shared" si="13"/>
        <v>#DIV/0!</v>
      </c>
      <c r="I301" s="76">
        <f>F301/F303</f>
        <v>0</v>
      </c>
    </row>
    <row r="302" spans="1:9" s="17" customFormat="1" ht="16.5" customHeight="1" x14ac:dyDescent="0.2">
      <c r="A302" s="79">
        <v>50405</v>
      </c>
      <c r="B302" s="762" t="s">
        <v>122</v>
      </c>
      <c r="C302" s="763"/>
      <c r="D302" s="82">
        <v>1080</v>
      </c>
      <c r="E302" s="75">
        <v>1081.5999999999999</v>
      </c>
      <c r="F302" s="82">
        <v>1080</v>
      </c>
      <c r="G302" s="86">
        <f t="shared" si="12"/>
        <v>1</v>
      </c>
      <c r="H302" s="87">
        <f t="shared" si="13"/>
        <v>0.99852071005917165</v>
      </c>
      <c r="I302" s="76">
        <f>F302/F303</f>
        <v>6.4594460426921532E-2</v>
      </c>
    </row>
    <row r="303" spans="1:9" s="17" customFormat="1" ht="16.5" customHeight="1" x14ac:dyDescent="0.2">
      <c r="A303" s="79"/>
      <c r="B303" s="750" t="s">
        <v>97</v>
      </c>
      <c r="C303" s="751"/>
      <c r="D303" s="99">
        <f>D290+D292+D293+D298+D299+D300+D301+D302</f>
        <v>15646.54</v>
      </c>
      <c r="E303" s="99">
        <f>E290+E292+E293+E298+E299+E300+E301+E302</f>
        <v>11897.6</v>
      </c>
      <c r="F303" s="489">
        <f>F290+F292+F293+F298+F299+F300+F301+F302</f>
        <v>16719.7</v>
      </c>
      <c r="G303" s="27">
        <f>F303/D303</f>
        <v>1.0685876877571654</v>
      </c>
      <c r="H303" s="28">
        <f>F303/E303</f>
        <v>1.4053002286175362</v>
      </c>
      <c r="I303" s="29">
        <f>F303/F289</f>
        <v>0.29266823167626815</v>
      </c>
    </row>
    <row r="304" spans="1:9" s="17" customFormat="1" ht="16.5" customHeight="1" x14ac:dyDescent="0.2">
      <c r="A304" s="394"/>
      <c r="B304" s="750" t="s">
        <v>157</v>
      </c>
      <c r="C304" s="751"/>
      <c r="D304" s="99">
        <f>D305</f>
        <v>33600</v>
      </c>
      <c r="E304" s="99"/>
      <c r="F304" s="99">
        <f>F305</f>
        <v>40408.81</v>
      </c>
      <c r="G304" s="27"/>
      <c r="H304" s="28"/>
      <c r="I304" s="29"/>
    </row>
    <row r="305" spans="1:9" s="17" customFormat="1" ht="16.5" customHeight="1" x14ac:dyDescent="0.2">
      <c r="A305" s="79">
        <v>55600</v>
      </c>
      <c r="B305" s="750" t="s">
        <v>123</v>
      </c>
      <c r="C305" s="751"/>
      <c r="D305" s="99">
        <v>33600</v>
      </c>
      <c r="E305" s="99">
        <v>0</v>
      </c>
      <c r="F305" s="99">
        <v>40408.81</v>
      </c>
      <c r="G305" s="27">
        <f>F305/D305</f>
        <v>1.2026431547619048</v>
      </c>
      <c r="H305" s="28" t="e">
        <f>F305/E305</f>
        <v>#DIV/0!</v>
      </c>
      <c r="I305" s="29">
        <f>F305/F289</f>
        <v>0.7073317683237319</v>
      </c>
    </row>
    <row r="306" spans="1:9" s="17" customFormat="1" ht="17.25" customHeight="1" x14ac:dyDescent="0.2">
      <c r="A306" s="92">
        <v>48019</v>
      </c>
      <c r="B306" s="790" t="s">
        <v>72</v>
      </c>
      <c r="C306" s="791"/>
      <c r="D306" s="98">
        <f>D313+D314</f>
        <v>341321.67</v>
      </c>
      <c r="E306" s="98">
        <f t="shared" ref="E306" si="14">E313</f>
        <v>20000</v>
      </c>
      <c r="F306" s="98">
        <f>F313+F314</f>
        <v>56668.119999999995</v>
      </c>
      <c r="G306" s="48">
        <f>F306/D306</f>
        <v>0.1660255558927741</v>
      </c>
      <c r="H306" s="48">
        <f>F306/E306</f>
        <v>2.8334059999999996</v>
      </c>
      <c r="I306" s="48">
        <f>F306/F366</f>
        <v>1.5195380774914563E-2</v>
      </c>
    </row>
    <row r="307" spans="1:9" s="17" customFormat="1" ht="16.5" customHeight="1" x14ac:dyDescent="0.2">
      <c r="A307" s="100">
        <v>50019</v>
      </c>
      <c r="B307" s="759" t="s">
        <v>95</v>
      </c>
      <c r="C307" s="760"/>
      <c r="D307" s="75">
        <v>300</v>
      </c>
      <c r="E307" s="424">
        <v>0</v>
      </c>
      <c r="F307" s="75">
        <v>0</v>
      </c>
      <c r="G307" s="86">
        <f t="shared" si="12"/>
        <v>0</v>
      </c>
      <c r="H307" s="87" t="e">
        <f t="shared" si="13"/>
        <v>#DIV/0!</v>
      </c>
      <c r="I307" s="76">
        <f>F307/F313</f>
        <v>0</v>
      </c>
    </row>
    <row r="308" spans="1:9" s="17" customFormat="1" ht="16.5" customHeight="1" x14ac:dyDescent="0.2">
      <c r="A308" s="101">
        <v>50205</v>
      </c>
      <c r="B308" s="859" t="s">
        <v>522</v>
      </c>
      <c r="C308" s="860"/>
      <c r="D308" s="75">
        <v>0</v>
      </c>
      <c r="E308" s="424">
        <v>0</v>
      </c>
      <c r="F308" s="75">
        <v>0</v>
      </c>
      <c r="G308" s="86" t="e">
        <f t="shared" si="12"/>
        <v>#DIV/0!</v>
      </c>
      <c r="H308" s="87" t="e">
        <f t="shared" si="13"/>
        <v>#DIV/0!</v>
      </c>
      <c r="I308" s="76">
        <f>F308/F313</f>
        <v>0</v>
      </c>
    </row>
    <row r="309" spans="1:9" s="17" customFormat="1" ht="16.5" customHeight="1" x14ac:dyDescent="0.2">
      <c r="A309" s="79">
        <v>50206</v>
      </c>
      <c r="B309" s="857" t="s">
        <v>609</v>
      </c>
      <c r="C309" s="858"/>
      <c r="D309" s="102">
        <v>6200</v>
      </c>
      <c r="E309" s="424">
        <v>0</v>
      </c>
      <c r="F309" s="102">
        <v>3350</v>
      </c>
      <c r="G309" s="86">
        <f t="shared" si="12"/>
        <v>0.54032258064516125</v>
      </c>
      <c r="H309" s="87" t="e">
        <f t="shared" si="13"/>
        <v>#DIV/0!</v>
      </c>
      <c r="I309" s="76">
        <f>F309/F313</f>
        <v>0.11001642036124795</v>
      </c>
    </row>
    <row r="310" spans="1:9" s="17" customFormat="1" ht="16.5" customHeight="1" x14ac:dyDescent="0.2">
      <c r="A310" s="79">
        <v>50208</v>
      </c>
      <c r="B310" s="857" t="s">
        <v>401</v>
      </c>
      <c r="C310" s="858"/>
      <c r="D310" s="102">
        <v>8950</v>
      </c>
      <c r="E310" s="424">
        <v>5000</v>
      </c>
      <c r="F310" s="102">
        <v>17250</v>
      </c>
      <c r="G310" s="86">
        <f t="shared" si="12"/>
        <v>1.9273743016759777</v>
      </c>
      <c r="H310" s="87">
        <f t="shared" si="13"/>
        <v>3.45</v>
      </c>
      <c r="I310" s="76">
        <f>F310/F313</f>
        <v>0.56650246305418717</v>
      </c>
    </row>
    <row r="311" spans="1:9" s="17" customFormat="1" ht="16.5" customHeight="1" x14ac:dyDescent="0.2">
      <c r="A311" s="79" t="s">
        <v>126</v>
      </c>
      <c r="B311" s="857" t="s">
        <v>402</v>
      </c>
      <c r="C311" s="858"/>
      <c r="D311" s="102">
        <v>0</v>
      </c>
      <c r="E311" s="424">
        <v>0</v>
      </c>
      <c r="F311" s="102">
        <v>0</v>
      </c>
      <c r="G311" s="86" t="e">
        <f t="shared" si="12"/>
        <v>#DIV/0!</v>
      </c>
      <c r="H311" s="87" t="e">
        <f t="shared" si="13"/>
        <v>#DIV/0!</v>
      </c>
      <c r="I311" s="76">
        <f>F311/F313</f>
        <v>0</v>
      </c>
    </row>
    <row r="312" spans="1:9" s="17" customFormat="1" ht="16.5" customHeight="1" x14ac:dyDescent="0.2">
      <c r="A312" s="81">
        <v>50211</v>
      </c>
      <c r="B312" s="857" t="s">
        <v>403</v>
      </c>
      <c r="C312" s="858"/>
      <c r="D312" s="102">
        <v>24740</v>
      </c>
      <c r="E312" s="424">
        <v>15000</v>
      </c>
      <c r="F312" s="102">
        <v>9850</v>
      </c>
      <c r="G312" s="86">
        <f t="shared" si="12"/>
        <v>0.39814066289409861</v>
      </c>
      <c r="H312" s="87">
        <f t="shared" si="13"/>
        <v>0.65666666666666662</v>
      </c>
      <c r="I312" s="76">
        <f>F312/F313</f>
        <v>0.32348111658456485</v>
      </c>
    </row>
    <row r="313" spans="1:9" s="17" customFormat="1" ht="16.5" customHeight="1" x14ac:dyDescent="0.2">
      <c r="A313" s="103"/>
      <c r="B313" s="778" t="s">
        <v>97</v>
      </c>
      <c r="C313" s="779"/>
      <c r="D313" s="90">
        <f>D307+D308+D309+D310+D311+D312</f>
        <v>40190</v>
      </c>
      <c r="E313" s="90">
        <f>E307+E308+E309+E310+E311+E312</f>
        <v>20000</v>
      </c>
      <c r="F313" s="90">
        <f>F307+F308+F309+F310+F311+F312</f>
        <v>30450</v>
      </c>
      <c r="G313" s="27">
        <f t="shared" si="12"/>
        <v>0.75765115700422991</v>
      </c>
      <c r="H313" s="28">
        <f t="shared" si="13"/>
        <v>1.5225</v>
      </c>
      <c r="I313" s="29">
        <f>F313/F306</f>
        <v>0.53733916000742576</v>
      </c>
    </row>
    <row r="314" spans="1:9" s="17" customFormat="1" ht="16.5" customHeight="1" x14ac:dyDescent="0.2">
      <c r="A314" s="103"/>
      <c r="B314" s="559" t="s">
        <v>140</v>
      </c>
      <c r="C314" s="567"/>
      <c r="D314" s="90">
        <f>D315</f>
        <v>301131.67</v>
      </c>
      <c r="E314" s="90"/>
      <c r="F314" s="90">
        <f>F315</f>
        <v>26218.12</v>
      </c>
      <c r="G314" s="27">
        <f t="shared" si="12"/>
        <v>8.7065302696325494E-2</v>
      </c>
      <c r="H314" s="28"/>
      <c r="I314" s="29"/>
    </row>
    <row r="315" spans="1:9" s="17" customFormat="1" ht="16.5" customHeight="1" x14ac:dyDescent="0.2">
      <c r="A315" s="103"/>
      <c r="B315" s="559" t="s">
        <v>540</v>
      </c>
      <c r="C315" s="567"/>
      <c r="D315" s="90">
        <v>301131.67</v>
      </c>
      <c r="E315" s="90"/>
      <c r="F315" s="90">
        <v>26218.12</v>
      </c>
      <c r="G315" s="27"/>
      <c r="H315" s="28"/>
      <c r="I315" s="29"/>
    </row>
    <row r="316" spans="1:9" s="17" customFormat="1" ht="17.25" customHeight="1" x14ac:dyDescent="0.2">
      <c r="A316" s="92">
        <v>650</v>
      </c>
      <c r="B316" s="790" t="s">
        <v>128</v>
      </c>
      <c r="C316" s="791"/>
      <c r="D316" s="98">
        <f>D317+D325</f>
        <v>807468.55999999994</v>
      </c>
      <c r="E316" s="98">
        <f>E317+E325</f>
        <v>721000</v>
      </c>
      <c r="F316" s="98">
        <f>F317+F325</f>
        <v>528165.59</v>
      </c>
      <c r="G316" s="48">
        <f t="shared" si="12"/>
        <v>0.65410050144862608</v>
      </c>
      <c r="H316" s="48">
        <f t="shared" si="13"/>
        <v>0.73254589459084596</v>
      </c>
      <c r="I316" s="48">
        <f>F316/F366</f>
        <v>0.14162596627976026</v>
      </c>
    </row>
    <row r="317" spans="1:9" s="17" customFormat="1" ht="16.5" customHeight="1" x14ac:dyDescent="0.2">
      <c r="A317" s="94">
        <v>65095</v>
      </c>
      <c r="B317" s="853" t="s">
        <v>129</v>
      </c>
      <c r="C317" s="854"/>
      <c r="D317" s="95">
        <f t="shared" ref="D317:E317" si="15">D324</f>
        <v>316118.32999999996</v>
      </c>
      <c r="E317" s="95">
        <f t="shared" si="15"/>
        <v>370000</v>
      </c>
      <c r="F317" s="95">
        <f>F318+F319+F320+F321+F322+F323</f>
        <v>275348</v>
      </c>
      <c r="G317" s="96">
        <f t="shared" si="12"/>
        <v>0.87102826337213679</v>
      </c>
      <c r="H317" s="96">
        <f t="shared" si="13"/>
        <v>0.7441837837837838</v>
      </c>
      <c r="I317" s="96">
        <f>F317/F316</f>
        <v>0.5213289264073413</v>
      </c>
    </row>
    <row r="318" spans="1:9" s="17" customFormat="1" ht="16.5" customHeight="1" x14ac:dyDescent="0.2">
      <c r="A318" s="79">
        <v>50011</v>
      </c>
      <c r="B318" s="712" t="s">
        <v>130</v>
      </c>
      <c r="C318" s="713"/>
      <c r="D318" s="102">
        <v>106675</v>
      </c>
      <c r="E318" s="75">
        <v>120000</v>
      </c>
      <c r="F318" s="102">
        <v>109200</v>
      </c>
      <c r="G318" s="86">
        <f t="shared" si="12"/>
        <v>1.0236700257792359</v>
      </c>
      <c r="H318" s="87">
        <f t="shared" si="13"/>
        <v>0.91</v>
      </c>
      <c r="I318" s="76">
        <f>F318/F324</f>
        <v>0.3965890436829031</v>
      </c>
    </row>
    <row r="319" spans="1:9" s="17" customFormat="1" ht="16.5" customHeight="1" x14ac:dyDescent="0.2">
      <c r="A319" s="79">
        <v>50019</v>
      </c>
      <c r="B319" s="712" t="s">
        <v>95</v>
      </c>
      <c r="C319" s="713"/>
      <c r="D319" s="102">
        <v>4034</v>
      </c>
      <c r="E319" s="424">
        <v>0</v>
      </c>
      <c r="F319" s="102">
        <v>11936</v>
      </c>
      <c r="G319" s="86">
        <f t="shared" si="12"/>
        <v>2.9588497768963808</v>
      </c>
      <c r="H319" s="87" t="e">
        <f t="shared" si="13"/>
        <v>#DIV/0!</v>
      </c>
      <c r="I319" s="76">
        <f>F319/F324</f>
        <v>4.3348780452372997E-2</v>
      </c>
    </row>
    <row r="320" spans="1:9" s="17" customFormat="1" ht="16.5" customHeight="1" x14ac:dyDescent="0.2">
      <c r="A320" s="79">
        <v>50032</v>
      </c>
      <c r="B320" s="562" t="s">
        <v>517</v>
      </c>
      <c r="C320" s="515"/>
      <c r="D320" s="102">
        <v>106046.5</v>
      </c>
      <c r="E320" s="424">
        <v>125000</v>
      </c>
      <c r="F320" s="102">
        <v>84572</v>
      </c>
      <c r="G320" s="86"/>
      <c r="H320" s="87"/>
      <c r="I320" s="76"/>
    </row>
    <row r="321" spans="1:9" s="17" customFormat="1" ht="16.5" customHeight="1" x14ac:dyDescent="0.2">
      <c r="A321" s="79">
        <v>50409</v>
      </c>
      <c r="B321" s="514" t="s">
        <v>498</v>
      </c>
      <c r="C321" s="515"/>
      <c r="D321" s="102">
        <v>0</v>
      </c>
      <c r="E321" s="424">
        <v>0</v>
      </c>
      <c r="F321" s="102">
        <v>0</v>
      </c>
      <c r="G321" s="86" t="e">
        <f t="shared" si="12"/>
        <v>#DIV/0!</v>
      </c>
      <c r="H321" s="87" t="e">
        <f t="shared" si="13"/>
        <v>#DIV/0!</v>
      </c>
      <c r="I321" s="76">
        <f>F321/F325</f>
        <v>0</v>
      </c>
    </row>
    <row r="322" spans="1:9" s="17" customFormat="1" ht="16.5" customHeight="1" x14ac:dyDescent="0.2">
      <c r="A322" s="81">
        <v>50460</v>
      </c>
      <c r="B322" s="712" t="s">
        <v>131</v>
      </c>
      <c r="C322" s="713"/>
      <c r="D322" s="102">
        <v>14008.33</v>
      </c>
      <c r="E322" s="424">
        <v>15000</v>
      </c>
      <c r="F322" s="102">
        <v>17320</v>
      </c>
      <c r="G322" s="86">
        <f t="shared" si="12"/>
        <v>1.2364071948619144</v>
      </c>
      <c r="H322" s="87">
        <f t="shared" si="13"/>
        <v>1.1546666666666667</v>
      </c>
      <c r="I322" s="76">
        <f>F322/F324</f>
        <v>6.2902218283771807E-2</v>
      </c>
    </row>
    <row r="323" spans="1:9" s="17" customFormat="1" ht="16.5" customHeight="1" x14ac:dyDescent="0.2">
      <c r="A323" s="79">
        <v>50504</v>
      </c>
      <c r="B323" s="712" t="s">
        <v>132</v>
      </c>
      <c r="C323" s="713"/>
      <c r="D323" s="102">
        <v>85354.5</v>
      </c>
      <c r="E323" s="424">
        <v>110000</v>
      </c>
      <c r="F323" s="102">
        <v>52320</v>
      </c>
      <c r="G323" s="86">
        <f t="shared" si="12"/>
        <v>0.61297295397430718</v>
      </c>
      <c r="H323" s="87">
        <f t="shared" si="13"/>
        <v>0.47563636363636363</v>
      </c>
      <c r="I323" s="76">
        <f>F323/F324</f>
        <v>0.19001409125906127</v>
      </c>
    </row>
    <row r="324" spans="1:9" s="17" customFormat="1" ht="16.5" customHeight="1" x14ac:dyDescent="0.2">
      <c r="A324" s="79"/>
      <c r="B324" s="750" t="s">
        <v>97</v>
      </c>
      <c r="C324" s="751"/>
      <c r="D324" s="104">
        <f>D318+D319+D320+D321+D322+D323</f>
        <v>316118.32999999996</v>
      </c>
      <c r="E324" s="104">
        <f>E318+E319+E320+E321+E322+E323</f>
        <v>370000</v>
      </c>
      <c r="F324" s="104">
        <f>F318+F319+F320+F321+F322+F323</f>
        <v>275348</v>
      </c>
      <c r="G324" s="27">
        <f t="shared" si="12"/>
        <v>0.87102826337213679</v>
      </c>
      <c r="H324" s="28">
        <f t="shared" si="13"/>
        <v>0.7441837837837838</v>
      </c>
      <c r="I324" s="29">
        <f>F324/F317</f>
        <v>1</v>
      </c>
    </row>
    <row r="325" spans="1:9" s="17" customFormat="1" ht="17.25" customHeight="1" x14ac:dyDescent="0.2">
      <c r="A325" s="94">
        <v>65495</v>
      </c>
      <c r="B325" s="853" t="s">
        <v>133</v>
      </c>
      <c r="C325" s="854"/>
      <c r="D325" s="95">
        <f>D331</f>
        <v>491350.23</v>
      </c>
      <c r="E325" s="95">
        <f t="shared" ref="E325:F325" si="16">E331</f>
        <v>351000</v>
      </c>
      <c r="F325" s="95">
        <f t="shared" si="16"/>
        <v>252817.59</v>
      </c>
      <c r="G325" s="96">
        <f t="shared" si="12"/>
        <v>0.5145364234387354</v>
      </c>
      <c r="H325" s="96">
        <f t="shared" si="13"/>
        <v>0.72027803418803416</v>
      </c>
      <c r="I325" s="96">
        <f>F325/F316</f>
        <v>0.4786710735926587</v>
      </c>
    </row>
    <row r="326" spans="1:9" s="17" customFormat="1" ht="17.25" customHeight="1" x14ac:dyDescent="0.2">
      <c r="A326" s="184">
        <v>50008</v>
      </c>
      <c r="B326" s="563" t="s">
        <v>139</v>
      </c>
      <c r="C326" s="496"/>
      <c r="D326" s="74">
        <v>89667.5</v>
      </c>
      <c r="E326" s="75">
        <v>15000</v>
      </c>
      <c r="F326" s="74">
        <v>0</v>
      </c>
      <c r="G326" s="29">
        <f>F326/D326</f>
        <v>0</v>
      </c>
      <c r="H326" s="29">
        <f>F326/E326</f>
        <v>0</v>
      </c>
      <c r="I326" s="29">
        <f>F326/F331</f>
        <v>0</v>
      </c>
    </row>
    <row r="327" spans="1:9" s="17" customFormat="1" ht="16.5" customHeight="1" x14ac:dyDescent="0.2">
      <c r="A327" s="81">
        <v>50212</v>
      </c>
      <c r="B327" s="712" t="s">
        <v>404</v>
      </c>
      <c r="C327" s="713"/>
      <c r="D327" s="74">
        <v>22454.400000000001</v>
      </c>
      <c r="E327" s="424">
        <v>115000</v>
      </c>
      <c r="F327" s="74">
        <v>4325.8</v>
      </c>
      <c r="G327" s="86">
        <f t="shared" si="12"/>
        <v>0.19264821148639019</v>
      </c>
      <c r="H327" s="87">
        <f t="shared" si="13"/>
        <v>3.7615652173913043E-2</v>
      </c>
      <c r="I327" s="76">
        <f>F327/F331</f>
        <v>1.7110360082144602E-2</v>
      </c>
    </row>
    <row r="328" spans="1:9" s="17" customFormat="1" ht="16.5" customHeight="1" x14ac:dyDescent="0.2">
      <c r="A328" s="79">
        <v>50405</v>
      </c>
      <c r="B328" s="712" t="s">
        <v>122</v>
      </c>
      <c r="C328" s="713"/>
      <c r="D328" s="5">
        <v>0</v>
      </c>
      <c r="E328" s="424">
        <v>170000</v>
      </c>
      <c r="F328" s="5">
        <v>3115</v>
      </c>
      <c r="G328" s="86" t="e">
        <f t="shared" si="12"/>
        <v>#DIV/0!</v>
      </c>
      <c r="H328" s="87">
        <f t="shared" si="13"/>
        <v>1.8323529411764707E-2</v>
      </c>
      <c r="I328" s="76">
        <f>F328/F331</f>
        <v>1.2321136357640304E-2</v>
      </c>
    </row>
    <row r="329" spans="1:9" s="17" customFormat="1" ht="16.5" customHeight="1" x14ac:dyDescent="0.2">
      <c r="A329" s="79">
        <v>50408</v>
      </c>
      <c r="B329" s="712" t="s">
        <v>134</v>
      </c>
      <c r="C329" s="713"/>
      <c r="D329" s="102">
        <v>146542.10999999999</v>
      </c>
      <c r="E329" s="424">
        <v>51000</v>
      </c>
      <c r="F329" s="102">
        <v>217757.79</v>
      </c>
      <c r="G329" s="86">
        <f>F329/D329</f>
        <v>1.4859741681077203</v>
      </c>
      <c r="H329" s="87">
        <f>F329/E329</f>
        <v>4.269760588235294</v>
      </c>
      <c r="I329" s="76">
        <f>F329/F331</f>
        <v>0.86132373146979213</v>
      </c>
    </row>
    <row r="330" spans="1:9" s="17" customFormat="1" ht="16.5" customHeight="1" x14ac:dyDescent="0.2">
      <c r="A330" s="79">
        <v>50413</v>
      </c>
      <c r="B330" s="712" t="s">
        <v>135</v>
      </c>
      <c r="C330" s="713"/>
      <c r="D330" s="102">
        <v>232686.22</v>
      </c>
      <c r="E330" s="75">
        <v>0</v>
      </c>
      <c r="F330" s="102">
        <v>27619</v>
      </c>
      <c r="G330" s="86">
        <f>F330/D330</f>
        <v>0.11869632847187943</v>
      </c>
      <c r="H330" s="87" t="e">
        <f>F330/E330</f>
        <v>#DIV/0!</v>
      </c>
      <c r="I330" s="76">
        <f>F330/F331</f>
        <v>0.10924477209042298</v>
      </c>
    </row>
    <row r="331" spans="1:9" s="17" customFormat="1" ht="16.5" customHeight="1" x14ac:dyDescent="0.2">
      <c r="A331" s="79"/>
      <c r="B331" s="750" t="s">
        <v>97</v>
      </c>
      <c r="C331" s="751"/>
      <c r="D331" s="104">
        <f>D326+D327+D328+D329+D330</f>
        <v>491350.23</v>
      </c>
      <c r="E331" s="104">
        <f>E326+E327+E328+E329+E330</f>
        <v>351000</v>
      </c>
      <c r="F331" s="104">
        <f>F326+F327+F328+F329+F330</f>
        <v>252817.59</v>
      </c>
      <c r="G331" s="27">
        <f>F331/D331</f>
        <v>0.5145364234387354</v>
      </c>
      <c r="H331" s="28">
        <f>F331/E331</f>
        <v>0.72027803418803416</v>
      </c>
      <c r="I331" s="29">
        <f>F331/F325</f>
        <v>1</v>
      </c>
    </row>
    <row r="332" spans="1:9" s="17" customFormat="1" ht="17.25" customHeight="1" x14ac:dyDescent="0.2">
      <c r="A332" s="395">
        <v>66100</v>
      </c>
      <c r="B332" s="790" t="s">
        <v>74</v>
      </c>
      <c r="C332" s="791"/>
      <c r="D332" s="93">
        <f t="shared" ref="D332:F332" si="17">D335</f>
        <v>475446.85</v>
      </c>
      <c r="E332" s="93">
        <f>E333+E334</f>
        <v>687059.39999999991</v>
      </c>
      <c r="F332" s="93">
        <f t="shared" si="17"/>
        <v>992602.37</v>
      </c>
      <c r="G332" s="48">
        <f t="shared" ref="G332:G372" si="18">F332/D332</f>
        <v>2.0877251999881796</v>
      </c>
      <c r="H332" s="48">
        <f t="shared" ref="H332:H372" si="19">F332/E332</f>
        <v>1.4447111414238714</v>
      </c>
      <c r="I332" s="48">
        <f>F332/F366</f>
        <v>0.26616324964076155</v>
      </c>
    </row>
    <row r="333" spans="1:9" s="17" customFormat="1" ht="16.5" customHeight="1" x14ac:dyDescent="0.2">
      <c r="A333" s="79">
        <v>50009</v>
      </c>
      <c r="B333" s="712" t="s">
        <v>136</v>
      </c>
      <c r="C333" s="713"/>
      <c r="D333" s="5">
        <v>451576.91</v>
      </c>
      <c r="E333" s="424">
        <v>581176.19999999995</v>
      </c>
      <c r="F333" s="5">
        <v>970211.17</v>
      </c>
      <c r="G333" s="86">
        <f t="shared" si="18"/>
        <v>2.1484959671653718</v>
      </c>
      <c r="H333" s="87">
        <f t="shared" si="19"/>
        <v>1.6693924665187598</v>
      </c>
      <c r="I333" s="76">
        <f>F333/F335</f>
        <v>0.97744192369800609</v>
      </c>
    </row>
    <row r="334" spans="1:9" s="17" customFormat="1" ht="16.5" customHeight="1" x14ac:dyDescent="0.2">
      <c r="A334" s="79">
        <v>50026</v>
      </c>
      <c r="B334" s="712" t="s">
        <v>137</v>
      </c>
      <c r="C334" s="713"/>
      <c r="D334" s="5">
        <v>23869.94</v>
      </c>
      <c r="E334" s="424">
        <v>105883.2</v>
      </c>
      <c r="F334" s="5">
        <v>22391.200000000001</v>
      </c>
      <c r="G334" s="86">
        <f t="shared" si="18"/>
        <v>0.93805011659015491</v>
      </c>
      <c r="H334" s="87">
        <f t="shared" si="19"/>
        <v>0.21147075267842302</v>
      </c>
      <c r="I334" s="76">
        <f>F334/F335</f>
        <v>2.2558076301993919E-2</v>
      </c>
    </row>
    <row r="335" spans="1:9" s="17" customFormat="1" ht="16.5" customHeight="1" x14ac:dyDescent="0.2">
      <c r="A335" s="79"/>
      <c r="B335" s="750" t="s">
        <v>97</v>
      </c>
      <c r="C335" s="751"/>
      <c r="D335" s="104">
        <f>D333+D334</f>
        <v>475446.85</v>
      </c>
      <c r="E335" s="104">
        <f>E333+E334</f>
        <v>687059.39999999991</v>
      </c>
      <c r="F335" s="104">
        <f>F333+F334</f>
        <v>992602.37</v>
      </c>
      <c r="G335" s="27">
        <f t="shared" si="18"/>
        <v>2.0877251999881796</v>
      </c>
      <c r="H335" s="28">
        <f t="shared" si="19"/>
        <v>1.4447111414238714</v>
      </c>
      <c r="I335" s="29">
        <f>F335/F332</f>
        <v>1</v>
      </c>
    </row>
    <row r="336" spans="1:9" s="17" customFormat="1" ht="17.25" customHeight="1" x14ac:dyDescent="0.2">
      <c r="A336" s="92"/>
      <c r="B336" s="790" t="s">
        <v>75</v>
      </c>
      <c r="C336" s="791"/>
      <c r="D336" s="105">
        <f>D337</f>
        <v>75109.5</v>
      </c>
      <c r="E336" s="105">
        <f t="shared" ref="E336:F336" si="20">E338</f>
        <v>107000</v>
      </c>
      <c r="F336" s="105">
        <f t="shared" si="20"/>
        <v>77611.5</v>
      </c>
      <c r="G336" s="48">
        <f t="shared" si="18"/>
        <v>1.0333113654065065</v>
      </c>
      <c r="H336" s="48">
        <f t="shared" si="19"/>
        <v>0.72534112149532715</v>
      </c>
      <c r="I336" s="48">
        <f>F336/F366</f>
        <v>2.081128322259997E-2</v>
      </c>
    </row>
    <row r="337" spans="1:15" s="17" customFormat="1" ht="17.25" customHeight="1" x14ac:dyDescent="0.2">
      <c r="A337" s="92">
        <v>74100</v>
      </c>
      <c r="B337" s="790" t="s">
        <v>138</v>
      </c>
      <c r="C337" s="791"/>
      <c r="D337" s="98">
        <f>D338</f>
        <v>75109.5</v>
      </c>
      <c r="E337" s="98">
        <f t="shared" ref="E337:F337" si="21">E338</f>
        <v>107000</v>
      </c>
      <c r="F337" s="98">
        <f t="shared" si="21"/>
        <v>77611.5</v>
      </c>
      <c r="G337" s="48">
        <f t="shared" si="18"/>
        <v>1.0333113654065065</v>
      </c>
      <c r="H337" s="48">
        <f t="shared" si="19"/>
        <v>0.72534112149532715</v>
      </c>
      <c r="I337" s="48">
        <f>F337/F336</f>
        <v>1</v>
      </c>
    </row>
    <row r="338" spans="1:15" s="17" customFormat="1" ht="16.5" customHeight="1" x14ac:dyDescent="0.2">
      <c r="A338" s="106"/>
      <c r="B338" s="750" t="s">
        <v>97</v>
      </c>
      <c r="C338" s="751"/>
      <c r="D338" s="107">
        <v>75109.5</v>
      </c>
      <c r="E338" s="107">
        <v>107000</v>
      </c>
      <c r="F338" s="107">
        <v>77611.5</v>
      </c>
      <c r="G338" s="108">
        <f t="shared" si="18"/>
        <v>1.0333113654065065</v>
      </c>
      <c r="H338" s="108">
        <f t="shared" si="19"/>
        <v>0.72534112149532715</v>
      </c>
      <c r="I338" s="108">
        <f>F338/F337</f>
        <v>1</v>
      </c>
    </row>
    <row r="339" spans="1:15" s="17" customFormat="1" ht="17.25" customHeight="1" x14ac:dyDescent="0.2">
      <c r="A339" s="92">
        <v>85019</v>
      </c>
      <c r="B339" s="790" t="s">
        <v>40</v>
      </c>
      <c r="C339" s="791"/>
      <c r="D339" s="93">
        <f>D343+D344</f>
        <v>14969.55</v>
      </c>
      <c r="E339" s="93">
        <f t="shared" ref="E339" si="22">E343+E344</f>
        <v>500</v>
      </c>
      <c r="F339" s="93">
        <f>F343+F344</f>
        <v>987</v>
      </c>
      <c r="G339" s="48">
        <f t="shared" si="18"/>
        <v>6.5933845706784774E-2</v>
      </c>
      <c r="H339" s="48">
        <f t="shared" si="19"/>
        <v>1.974</v>
      </c>
      <c r="I339" s="48">
        <f>F339/F366</f>
        <v>2.6466099148587734E-4</v>
      </c>
    </row>
    <row r="340" spans="1:15" s="17" customFormat="1" ht="16.5" customHeight="1" x14ac:dyDescent="0.2">
      <c r="A340" s="79" t="s">
        <v>372</v>
      </c>
      <c r="B340" s="712" t="s">
        <v>139</v>
      </c>
      <c r="C340" s="713"/>
      <c r="D340" s="5">
        <v>0</v>
      </c>
      <c r="E340" s="5">
        <v>500</v>
      </c>
      <c r="F340" s="5">
        <v>0</v>
      </c>
      <c r="G340" s="86" t="e">
        <f t="shared" si="18"/>
        <v>#DIV/0!</v>
      </c>
      <c r="H340" s="87">
        <f t="shared" si="19"/>
        <v>0</v>
      </c>
      <c r="I340" s="76">
        <f>F340/F343</f>
        <v>0</v>
      </c>
    </row>
    <row r="341" spans="1:15" s="17" customFormat="1" ht="16.5" customHeight="1" x14ac:dyDescent="0.2">
      <c r="A341" s="79">
        <v>50408</v>
      </c>
      <c r="B341" s="712" t="s">
        <v>433</v>
      </c>
      <c r="C341" s="713"/>
      <c r="D341" s="5">
        <v>55</v>
      </c>
      <c r="E341" s="5"/>
      <c r="F341" s="5">
        <v>0</v>
      </c>
      <c r="G341" s="86"/>
      <c r="H341" s="87"/>
      <c r="I341" s="76"/>
    </row>
    <row r="342" spans="1:15" s="17" customFormat="1" ht="16.5" customHeight="1" x14ac:dyDescent="0.2">
      <c r="A342" s="81">
        <v>50409</v>
      </c>
      <c r="B342" s="712" t="s">
        <v>363</v>
      </c>
      <c r="C342" s="713"/>
      <c r="D342" s="5">
        <v>2538</v>
      </c>
      <c r="E342" s="5">
        <v>0</v>
      </c>
      <c r="F342" s="5">
        <v>987</v>
      </c>
      <c r="G342" s="86">
        <f t="shared" si="18"/>
        <v>0.3888888888888889</v>
      </c>
      <c r="H342" s="87" t="e">
        <f t="shared" si="19"/>
        <v>#DIV/0!</v>
      </c>
      <c r="I342" s="76">
        <f>F342/F343</f>
        <v>1</v>
      </c>
    </row>
    <row r="343" spans="1:15" s="17" customFormat="1" ht="16.5" customHeight="1" x14ac:dyDescent="0.2">
      <c r="A343" s="81"/>
      <c r="B343" s="750" t="s">
        <v>97</v>
      </c>
      <c r="C343" s="751"/>
      <c r="D343" s="99">
        <f>D340+D341+D342</f>
        <v>2593</v>
      </c>
      <c r="E343" s="99">
        <f>E340+E342</f>
        <v>500</v>
      </c>
      <c r="F343" s="99">
        <f>F340+F341+F342</f>
        <v>987</v>
      </c>
      <c r="G343" s="27">
        <f t="shared" si="18"/>
        <v>0.38064018511376785</v>
      </c>
      <c r="H343" s="28">
        <f t="shared" si="19"/>
        <v>1.974</v>
      </c>
      <c r="I343" s="29">
        <f>F343/F339</f>
        <v>1</v>
      </c>
    </row>
    <row r="344" spans="1:15" s="17" customFormat="1" ht="16.5" customHeight="1" x14ac:dyDescent="0.2">
      <c r="A344" s="81"/>
      <c r="B344" s="738" t="s">
        <v>459</v>
      </c>
      <c r="C344" s="739"/>
      <c r="D344" s="99">
        <f>D345+D346</f>
        <v>12376.55</v>
      </c>
      <c r="E344" s="99">
        <f t="shared" ref="E344" si="23">E346</f>
        <v>0</v>
      </c>
      <c r="F344" s="99">
        <f>F346+F345</f>
        <v>0</v>
      </c>
      <c r="G344" s="27">
        <f t="shared" si="18"/>
        <v>0</v>
      </c>
      <c r="H344" s="28" t="e">
        <f t="shared" si="19"/>
        <v>#DIV/0!</v>
      </c>
      <c r="I344" s="29">
        <f>F344/F339</f>
        <v>0</v>
      </c>
    </row>
    <row r="345" spans="1:15" s="17" customFormat="1" ht="16.5" customHeight="1" x14ac:dyDescent="0.2">
      <c r="A345" s="81"/>
      <c r="B345" s="855" t="s">
        <v>475</v>
      </c>
      <c r="C345" s="856"/>
      <c r="D345" s="99">
        <v>7859.55</v>
      </c>
      <c r="E345" s="99"/>
      <c r="F345" s="99">
        <v>0</v>
      </c>
      <c r="G345" s="27"/>
      <c r="H345" s="28"/>
      <c r="I345" s="29"/>
    </row>
    <row r="346" spans="1:15" s="17" customFormat="1" ht="16.5" customHeight="1" x14ac:dyDescent="0.2">
      <c r="A346" s="81"/>
      <c r="B346" s="855" t="s">
        <v>460</v>
      </c>
      <c r="C346" s="856"/>
      <c r="D346" s="99">
        <v>4517</v>
      </c>
      <c r="E346" s="99">
        <v>0</v>
      </c>
      <c r="F346" s="99">
        <v>0</v>
      </c>
      <c r="G346" s="86">
        <f t="shared" si="18"/>
        <v>0</v>
      </c>
      <c r="H346" s="87" t="e">
        <f t="shared" si="19"/>
        <v>#DIV/0!</v>
      </c>
      <c r="I346" s="29" t="e">
        <f>F346/F344</f>
        <v>#DIV/0!</v>
      </c>
    </row>
    <row r="347" spans="1:15" s="17" customFormat="1" ht="17.25" customHeight="1" x14ac:dyDescent="0.2">
      <c r="A347" s="92"/>
      <c r="B347" s="790" t="s">
        <v>79</v>
      </c>
      <c r="C347" s="791"/>
      <c r="D347" s="98">
        <f t="shared" ref="D347:F347" si="24">D348+D349</f>
        <v>128419.36</v>
      </c>
      <c r="E347" s="98">
        <f t="shared" si="24"/>
        <v>100001</v>
      </c>
      <c r="F347" s="105">
        <f t="shared" si="24"/>
        <v>170859.15000000002</v>
      </c>
      <c r="G347" s="48">
        <f t="shared" si="18"/>
        <v>1.3304781304002762</v>
      </c>
      <c r="H347" s="48">
        <f t="shared" si="19"/>
        <v>1.7085744142558577</v>
      </c>
      <c r="I347" s="48">
        <f>F347/F366</f>
        <v>4.5815351614421726E-2</v>
      </c>
      <c r="K347" s="623"/>
      <c r="L347" s="624"/>
      <c r="M347" s="624"/>
      <c r="N347" s="625"/>
      <c r="O347" s="625"/>
    </row>
    <row r="348" spans="1:15" s="17" customFormat="1" ht="16.5" customHeight="1" x14ac:dyDescent="0.2">
      <c r="A348" s="572"/>
      <c r="B348" s="738" t="s">
        <v>97</v>
      </c>
      <c r="C348" s="739"/>
      <c r="D348" s="109">
        <f>D351+D360+D365</f>
        <v>118124</v>
      </c>
      <c r="E348" s="109">
        <f>E351+E360+E365</f>
        <v>100001</v>
      </c>
      <c r="F348" s="109">
        <f>F351+F360+F365</f>
        <v>144940.20000000001</v>
      </c>
      <c r="G348" s="27">
        <f t="shared" si="18"/>
        <v>1.2270173715756325</v>
      </c>
      <c r="H348" s="110">
        <f>E348/E347</f>
        <v>1</v>
      </c>
      <c r="I348" s="110">
        <f>F348/F347</f>
        <v>0.84830224193436521</v>
      </c>
      <c r="K348" s="623"/>
      <c r="L348" s="624"/>
      <c r="M348" s="624"/>
      <c r="N348" s="625"/>
      <c r="O348" s="625"/>
    </row>
    <row r="349" spans="1:15" s="17" customFormat="1" ht="16.5" customHeight="1" x14ac:dyDescent="0.2">
      <c r="A349" s="106"/>
      <c r="B349" s="738" t="s">
        <v>140</v>
      </c>
      <c r="C349" s="739"/>
      <c r="D349" s="111">
        <f>D352+D361+D364</f>
        <v>10295.36</v>
      </c>
      <c r="E349" s="111">
        <f>E352+E361</f>
        <v>0</v>
      </c>
      <c r="F349" s="111">
        <f>F352+F361+F364</f>
        <v>25918.95</v>
      </c>
      <c r="G349" s="27">
        <f t="shared" si="18"/>
        <v>2.5175370263885868</v>
      </c>
      <c r="H349" s="29">
        <f>E349/E347</f>
        <v>0</v>
      </c>
      <c r="I349" s="108">
        <f>F349/F347</f>
        <v>0.15169775806563474</v>
      </c>
      <c r="K349" s="623"/>
      <c r="L349" s="624"/>
      <c r="M349" s="624"/>
      <c r="N349" s="625"/>
      <c r="O349" s="625"/>
    </row>
    <row r="350" spans="1:15" s="17" customFormat="1" ht="16.5" customHeight="1" x14ac:dyDescent="0.2">
      <c r="A350" s="94">
        <v>92570</v>
      </c>
      <c r="B350" s="853" t="s">
        <v>141</v>
      </c>
      <c r="C350" s="854"/>
      <c r="D350" s="112">
        <f t="shared" ref="D350:E350" si="25">D351+D352</f>
        <v>59443</v>
      </c>
      <c r="E350" s="112">
        <f t="shared" si="25"/>
        <v>50000</v>
      </c>
      <c r="F350" s="112">
        <f>F351</f>
        <v>95890</v>
      </c>
      <c r="G350" s="96">
        <f t="shared" si="18"/>
        <v>1.6131420015813469</v>
      </c>
      <c r="H350" s="96">
        <f>E350/E347</f>
        <v>0.49999500004999953</v>
      </c>
      <c r="I350" s="96">
        <f>I351</f>
        <v>1</v>
      </c>
    </row>
    <row r="351" spans="1:15" s="17" customFormat="1" ht="16.5" customHeight="1" x14ac:dyDescent="0.2">
      <c r="A351" s="106">
        <v>50409</v>
      </c>
      <c r="B351" s="738" t="s">
        <v>142</v>
      </c>
      <c r="C351" s="739"/>
      <c r="D351" s="107">
        <v>59443</v>
      </c>
      <c r="E351" s="113">
        <v>50000</v>
      </c>
      <c r="F351" s="107">
        <v>95890</v>
      </c>
      <c r="G351" s="27">
        <f t="shared" si="18"/>
        <v>1.6131420015813469</v>
      </c>
      <c r="H351" s="114">
        <f>E351/E350</f>
        <v>1</v>
      </c>
      <c r="I351" s="108">
        <f>F351/F350</f>
        <v>1</v>
      </c>
    </row>
    <row r="352" spans="1:15" s="17" customFormat="1" ht="16.5" customHeight="1" x14ac:dyDescent="0.2">
      <c r="A352" s="572"/>
      <c r="B352" s="738" t="s">
        <v>140</v>
      </c>
      <c r="C352" s="739"/>
      <c r="D352" s="115">
        <f t="shared" ref="D352:F352" si="26">D353</f>
        <v>0</v>
      </c>
      <c r="E352" s="115">
        <v>0</v>
      </c>
      <c r="F352" s="115">
        <f t="shared" si="26"/>
        <v>0</v>
      </c>
      <c r="G352" s="116" t="e">
        <f t="shared" si="18"/>
        <v>#DIV/0!</v>
      </c>
      <c r="H352" s="110">
        <f>E352/E350</f>
        <v>0</v>
      </c>
      <c r="I352" s="110">
        <f>F352/F350</f>
        <v>0</v>
      </c>
    </row>
    <row r="353" spans="1:9" s="17" customFormat="1" ht="16.5" customHeight="1" x14ac:dyDescent="0.2">
      <c r="A353" s="106"/>
      <c r="B353" s="799" t="s">
        <v>143</v>
      </c>
      <c r="C353" s="800"/>
      <c r="D353" s="117">
        <v>0</v>
      </c>
      <c r="E353" s="117">
        <v>0</v>
      </c>
      <c r="F353" s="117">
        <v>0</v>
      </c>
      <c r="G353" s="86" t="e">
        <f t="shared" si="18"/>
        <v>#DIV/0!</v>
      </c>
      <c r="H353" s="114" t="e">
        <f>E353/E352</f>
        <v>#DIV/0!</v>
      </c>
      <c r="I353" s="108" t="e">
        <f>F353/F352</f>
        <v>#DIV/0!</v>
      </c>
    </row>
    <row r="354" spans="1:9" s="17" customFormat="1" ht="16.5" customHeight="1" x14ac:dyDescent="0.2">
      <c r="A354" s="570"/>
      <c r="B354" s="518"/>
      <c r="C354" s="518"/>
      <c r="D354" s="60"/>
      <c r="E354" s="60"/>
      <c r="F354" s="60"/>
      <c r="G354" s="398"/>
      <c r="H354" s="399"/>
      <c r="I354" s="400"/>
    </row>
    <row r="355" spans="1:9" s="17" customFormat="1" ht="16.5" customHeight="1" x14ac:dyDescent="0.2">
      <c r="A355" s="570"/>
      <c r="B355" s="518"/>
      <c r="C355" s="518"/>
      <c r="D355" s="60"/>
      <c r="E355" s="60"/>
      <c r="F355" s="60"/>
      <c r="G355" s="398"/>
      <c r="H355" s="399"/>
      <c r="I355" s="680">
        <v>5</v>
      </c>
    </row>
    <row r="356" spans="1:9" s="17" customFormat="1" ht="16.5" customHeight="1" x14ac:dyDescent="0.2">
      <c r="I356" s="15"/>
    </row>
    <row r="357" spans="1:9" s="17" customFormat="1" ht="16.5" customHeight="1" x14ac:dyDescent="0.2">
      <c r="I357" s="260"/>
    </row>
    <row r="358" spans="1:9" s="17" customFormat="1" ht="16.5" customHeight="1" x14ac:dyDescent="0.2"/>
    <row r="359" spans="1:9" s="17" customFormat="1" ht="16.5" customHeight="1" x14ac:dyDescent="0.2">
      <c r="A359" s="118">
        <v>93540</v>
      </c>
      <c r="B359" s="565" t="s">
        <v>144</v>
      </c>
      <c r="C359" s="566"/>
      <c r="D359" s="119">
        <f t="shared" ref="D359:F359" si="27">D360+D361</f>
        <v>7937.3600000000006</v>
      </c>
      <c r="E359" s="119">
        <f t="shared" si="27"/>
        <v>0</v>
      </c>
      <c r="F359" s="119">
        <f t="shared" si="27"/>
        <v>8632.9500000000007</v>
      </c>
      <c r="G359" s="120">
        <f>F359/D359</f>
        <v>1.0876349315137528</v>
      </c>
      <c r="H359" s="96">
        <f>E359/E347</f>
        <v>0</v>
      </c>
      <c r="I359" s="120">
        <f>F359/F347</f>
        <v>5.052670576905012E-2</v>
      </c>
    </row>
    <row r="360" spans="1:9" s="17" customFormat="1" ht="16.5" customHeight="1" x14ac:dyDescent="0.2">
      <c r="A360" s="572"/>
      <c r="B360" s="545" t="s">
        <v>142</v>
      </c>
      <c r="C360" s="546"/>
      <c r="D360" s="115">
        <v>0</v>
      </c>
      <c r="E360" s="121">
        <v>0</v>
      </c>
      <c r="F360" s="115">
        <v>0</v>
      </c>
      <c r="G360" s="116" t="e">
        <f>F360/D360</f>
        <v>#DIV/0!</v>
      </c>
      <c r="H360" s="110" t="e">
        <f>E360/E359</f>
        <v>#DIV/0!</v>
      </c>
      <c r="I360" s="110">
        <f>F360/F359</f>
        <v>0</v>
      </c>
    </row>
    <row r="361" spans="1:9" s="17" customFormat="1" ht="16.5" customHeight="1" x14ac:dyDescent="0.2">
      <c r="A361" s="106"/>
      <c r="B361" s="545" t="s">
        <v>140</v>
      </c>
      <c r="C361" s="546"/>
      <c r="D361" s="107">
        <f>D362</f>
        <v>7937.3600000000006</v>
      </c>
      <c r="E361" s="107">
        <f t="shared" ref="E361" si="28">E362</f>
        <v>0</v>
      </c>
      <c r="F361" s="107">
        <f>F362</f>
        <v>8632.9500000000007</v>
      </c>
      <c r="G361" s="116">
        <f>F361/D361</f>
        <v>1.0876349315137528</v>
      </c>
      <c r="H361" s="108" t="e">
        <f>E361/E359</f>
        <v>#DIV/0!</v>
      </c>
      <c r="I361" s="108">
        <f>F361/F359</f>
        <v>1</v>
      </c>
    </row>
    <row r="362" spans="1:9" s="17" customFormat="1" ht="16.5" customHeight="1" x14ac:dyDescent="0.2">
      <c r="A362" s="106"/>
      <c r="B362" s="568" t="s">
        <v>143</v>
      </c>
      <c r="C362" s="569"/>
      <c r="D362" s="117">
        <f>4579.13+3358.23</f>
        <v>7937.3600000000006</v>
      </c>
      <c r="E362" s="117">
        <v>0</v>
      </c>
      <c r="F362" s="117">
        <f>5184.57+3448.38</f>
        <v>8632.9500000000007</v>
      </c>
      <c r="G362" s="86">
        <f t="shared" si="18"/>
        <v>1.0876349315137528</v>
      </c>
      <c r="H362" s="114" t="e">
        <f>E362/E361</f>
        <v>#DIV/0!</v>
      </c>
      <c r="I362" s="108">
        <f>F362/F361</f>
        <v>1</v>
      </c>
    </row>
    <row r="363" spans="1:9" s="17" customFormat="1" ht="16.5" customHeight="1" x14ac:dyDescent="0.2">
      <c r="A363" s="118">
        <v>94740</v>
      </c>
      <c r="B363" s="565" t="s">
        <v>145</v>
      </c>
      <c r="C363" s="566"/>
      <c r="D363" s="119">
        <f>D365+D364</f>
        <v>61039</v>
      </c>
      <c r="E363" s="119">
        <f t="shared" ref="E363" si="29">E365</f>
        <v>50001</v>
      </c>
      <c r="F363" s="119">
        <f>F364+F365</f>
        <v>66336.2</v>
      </c>
      <c r="G363" s="120">
        <f>F363/D363</f>
        <v>1.0867838594996642</v>
      </c>
      <c r="H363" s="120">
        <f>F363/E363</f>
        <v>1.326697466050679</v>
      </c>
      <c r="I363" s="120">
        <f>F363/F347</f>
        <v>0.3882507901976569</v>
      </c>
    </row>
    <row r="364" spans="1:9" s="17" customFormat="1" ht="16.5" customHeight="1" x14ac:dyDescent="0.2">
      <c r="A364" s="118"/>
      <c r="B364" s="855" t="s">
        <v>540</v>
      </c>
      <c r="C364" s="856"/>
      <c r="D364" s="119">
        <v>2358</v>
      </c>
      <c r="E364" s="613">
        <v>0</v>
      </c>
      <c r="F364" s="119">
        <v>17286</v>
      </c>
      <c r="G364" s="120">
        <f>F364/D364</f>
        <v>7.330788804071247</v>
      </c>
      <c r="H364" s="120" t="e">
        <f>F364/E364</f>
        <v>#DIV/0!</v>
      </c>
      <c r="I364" s="120"/>
    </row>
    <row r="365" spans="1:9" s="17" customFormat="1" ht="16.5" customHeight="1" x14ac:dyDescent="0.2">
      <c r="A365" s="106">
        <v>50409</v>
      </c>
      <c r="B365" s="738" t="s">
        <v>142</v>
      </c>
      <c r="C365" s="739"/>
      <c r="D365" s="107">
        <f>37481+250+20950</f>
        <v>58681</v>
      </c>
      <c r="E365" s="113">
        <v>50001</v>
      </c>
      <c r="F365" s="107">
        <f>30710.2+50+18290</f>
        <v>49050.2</v>
      </c>
      <c r="G365" s="116">
        <f>F365/D365</f>
        <v>0.83587873417290093</v>
      </c>
      <c r="H365" s="122">
        <f>F365/E365</f>
        <v>0.98098438031239366</v>
      </c>
      <c r="I365" s="108">
        <f>F365/F363</f>
        <v>0.73941829649572932</v>
      </c>
    </row>
    <row r="366" spans="1:9" s="17" customFormat="1" ht="16.5" customHeight="1" x14ac:dyDescent="0.2">
      <c r="A366" s="123"/>
      <c r="B366" s="790" t="s">
        <v>146</v>
      </c>
      <c r="C366" s="791"/>
      <c r="D366" s="124">
        <f>D262+D269+D278+D287+D303+D313+D324+D331+D335+D338+D343+D348</f>
        <v>4145536.43</v>
      </c>
      <c r="E366" s="124">
        <f>E251+E262+E269+E278+E287+E303+E313+E324+E331+E335+E338+E343+E348</f>
        <v>5365017</v>
      </c>
      <c r="F366" s="124">
        <f>F262+F269+F278+F287+F303+F313+F324+F331+F335+F338+F343+F348</f>
        <v>3729299.1100000003</v>
      </c>
      <c r="G366" s="51">
        <f t="shared" si="18"/>
        <v>0.89959385786895618</v>
      </c>
      <c r="H366" s="51">
        <f t="shared" si="19"/>
        <v>0.69511412731777</v>
      </c>
      <c r="I366" s="51">
        <f>F366/F372</f>
        <v>0.67110539355420762</v>
      </c>
    </row>
    <row r="367" spans="1:9" s="17" customFormat="1" ht="16.5" customHeight="1" x14ac:dyDescent="0.2">
      <c r="A367" s="45"/>
      <c r="B367" s="851" t="s">
        <v>436</v>
      </c>
      <c r="C367" s="852"/>
      <c r="D367" s="93">
        <f>D270</f>
        <v>43675</v>
      </c>
      <c r="E367" s="46">
        <v>0</v>
      </c>
      <c r="F367" s="93">
        <f>F270</f>
        <v>56135</v>
      </c>
      <c r="G367" s="51">
        <f t="shared" si="18"/>
        <v>1.2852890669719519</v>
      </c>
      <c r="H367" s="51" t="e">
        <f t="shared" si="19"/>
        <v>#DIV/0!</v>
      </c>
      <c r="I367" s="51">
        <f>F367/F372</f>
        <v>1.0101764475299875E-2</v>
      </c>
    </row>
    <row r="368" spans="1:9" s="17" customFormat="1" ht="16.5" customHeight="1" x14ac:dyDescent="0.2">
      <c r="A368" s="123"/>
      <c r="B368" s="849" t="s">
        <v>437</v>
      </c>
      <c r="C368" s="850"/>
      <c r="D368" s="341">
        <f>D279</f>
        <v>662931</v>
      </c>
      <c r="E368" s="221">
        <v>0</v>
      </c>
      <c r="F368" s="341">
        <f>F279</f>
        <v>768881.5</v>
      </c>
      <c r="G368" s="51">
        <f t="shared" si="18"/>
        <v>1.1598213087033191</v>
      </c>
      <c r="H368" s="51" t="e">
        <f t="shared" si="19"/>
        <v>#DIV/0!</v>
      </c>
      <c r="I368" s="51">
        <f>F368/F372</f>
        <v>0.13836394089988921</v>
      </c>
    </row>
    <row r="369" spans="1:11" s="17" customFormat="1" ht="16.5" customHeight="1" x14ac:dyDescent="0.2">
      <c r="A369" s="123"/>
      <c r="B369" s="790" t="s">
        <v>438</v>
      </c>
      <c r="C369" s="791"/>
      <c r="D369" s="124">
        <f t="shared" ref="D369:E369" si="30">D370+D371</f>
        <v>357403.57999999996</v>
      </c>
      <c r="E369" s="124">
        <f t="shared" si="30"/>
        <v>0</v>
      </c>
      <c r="F369" s="124">
        <f>F370+F371</f>
        <v>1002634.3799999999</v>
      </c>
      <c r="G369" s="51">
        <f t="shared" si="18"/>
        <v>2.8053283070080046</v>
      </c>
      <c r="H369" s="51" t="e">
        <f t="shared" si="19"/>
        <v>#DIV/0!</v>
      </c>
      <c r="I369" s="51">
        <f>F369/F372</f>
        <v>0.18042890107060328</v>
      </c>
    </row>
    <row r="370" spans="1:11" s="17" customFormat="1" ht="16.5" customHeight="1" x14ac:dyDescent="0.2">
      <c r="A370" s="572"/>
      <c r="B370" s="738" t="s">
        <v>147</v>
      </c>
      <c r="C370" s="739"/>
      <c r="D370" s="115">
        <f>D314+D344+D361+D364</f>
        <v>323803.57999999996</v>
      </c>
      <c r="E370" s="115">
        <v>0</v>
      </c>
      <c r="F370" s="115">
        <f>F280+F314+F344+F361+F364</f>
        <v>962225.57</v>
      </c>
      <c r="G370" s="116">
        <f t="shared" si="18"/>
        <v>2.9716335131316338</v>
      </c>
      <c r="H370" s="122" t="e">
        <f t="shared" si="19"/>
        <v>#DIV/0!</v>
      </c>
      <c r="I370" s="110">
        <f>F370/F369</f>
        <v>0.95969736246227666</v>
      </c>
    </row>
    <row r="371" spans="1:11" s="17" customFormat="1" ht="16.5" customHeight="1" x14ac:dyDescent="0.2">
      <c r="A371" s="572"/>
      <c r="B371" s="738" t="s">
        <v>148</v>
      </c>
      <c r="C371" s="739"/>
      <c r="D371" s="115">
        <f>D305</f>
        <v>33600</v>
      </c>
      <c r="E371" s="115">
        <f>E305</f>
        <v>0</v>
      </c>
      <c r="F371" s="115">
        <f>F305</f>
        <v>40408.81</v>
      </c>
      <c r="G371" s="116">
        <f t="shared" si="18"/>
        <v>1.2026431547619048</v>
      </c>
      <c r="H371" s="122" t="e">
        <f t="shared" si="19"/>
        <v>#DIV/0!</v>
      </c>
      <c r="I371" s="110">
        <f>F371/F369</f>
        <v>4.0302637537723375E-2</v>
      </c>
    </row>
    <row r="372" spans="1:11" s="17" customFormat="1" ht="16.5" customHeight="1" x14ac:dyDescent="0.2">
      <c r="A372" s="125"/>
      <c r="B372" s="849" t="s">
        <v>149</v>
      </c>
      <c r="C372" s="850"/>
      <c r="D372" s="98">
        <f>D366+D367+D368+D369</f>
        <v>5209546.01</v>
      </c>
      <c r="E372" s="98">
        <f t="shared" ref="E372" si="31">E366+E367+E368+E369</f>
        <v>5365017</v>
      </c>
      <c r="F372" s="98">
        <f>F366+F367+F368+F369</f>
        <v>5556949.9900000002</v>
      </c>
      <c r="G372" s="126">
        <f t="shared" si="18"/>
        <v>1.0666860373885056</v>
      </c>
      <c r="H372" s="126">
        <f t="shared" si="19"/>
        <v>1.0357749080757805</v>
      </c>
      <c r="I372" s="126">
        <f>I366+I367+I368+I369</f>
        <v>1</v>
      </c>
    </row>
    <row r="373" spans="1:11" s="17" customFormat="1" ht="16.5" customHeight="1" x14ac:dyDescent="0.2">
      <c r="A373" s="15"/>
      <c r="B373" s="15"/>
      <c r="C373" s="15"/>
      <c r="D373" s="127"/>
      <c r="E373" s="15"/>
      <c r="F373" s="15"/>
      <c r="G373" s="15"/>
      <c r="H373" s="15"/>
    </row>
    <row r="374" spans="1:11" s="17" customFormat="1" ht="16.5" customHeight="1" x14ac:dyDescent="0.2">
      <c r="A374" s="541" t="s">
        <v>610</v>
      </c>
      <c r="B374" s="541"/>
      <c r="C374" s="541"/>
      <c r="D374" s="541"/>
      <c r="E374" s="541"/>
      <c r="F374" s="541"/>
      <c r="G374" s="541"/>
      <c r="H374" s="541"/>
      <c r="I374" s="541"/>
    </row>
    <row r="375" spans="1:11" s="17" customFormat="1" ht="16.5" customHeight="1" x14ac:dyDescent="0.2">
      <c r="A375" s="720" t="s">
        <v>611</v>
      </c>
      <c r="B375" s="720"/>
      <c r="C375" s="720"/>
      <c r="D375" s="720"/>
      <c r="E375" s="720"/>
      <c r="F375" s="720"/>
      <c r="G375" s="720"/>
      <c r="H375" s="720"/>
      <c r="I375" s="720"/>
      <c r="K375" s="322"/>
    </row>
    <row r="376" spans="1:11" s="17" customFormat="1" ht="16.5" customHeight="1" x14ac:dyDescent="0.2">
      <c r="A376" s="720" t="s">
        <v>612</v>
      </c>
      <c r="B376" s="720"/>
      <c r="C376" s="720"/>
      <c r="D376" s="720"/>
      <c r="E376" s="720"/>
      <c r="F376" s="720"/>
      <c r="G376" s="720"/>
      <c r="H376" s="720"/>
      <c r="I376" s="720"/>
      <c r="K376" s="322"/>
    </row>
    <row r="377" spans="1:11" s="17" customFormat="1" ht="16.5" customHeight="1" x14ac:dyDescent="0.2">
      <c r="A377" s="541" t="s">
        <v>1054</v>
      </c>
      <c r="B377" s="541"/>
      <c r="C377" s="541"/>
      <c r="D377" s="541"/>
      <c r="E377" s="541"/>
      <c r="F377" s="541"/>
      <c r="G377" s="541"/>
      <c r="H377" s="541"/>
      <c r="I377" s="541"/>
      <c r="K377" s="322"/>
    </row>
    <row r="378" spans="1:11" s="17" customFormat="1" ht="16.5" customHeight="1" x14ac:dyDescent="0.2">
      <c r="A378" s="848" t="s">
        <v>1055</v>
      </c>
      <c r="B378" s="848"/>
      <c r="C378" s="848"/>
      <c r="D378" s="848"/>
      <c r="E378" s="848"/>
      <c r="F378" s="848"/>
      <c r="G378" s="848"/>
      <c r="H378" s="848"/>
      <c r="I378" s="848"/>
      <c r="K378" s="322"/>
    </row>
    <row r="379" spans="1:11" s="17" customFormat="1" ht="16.5" customHeight="1" x14ac:dyDescent="0.2">
      <c r="A379" s="544"/>
      <c r="B379" s="544" t="s">
        <v>1045</v>
      </c>
      <c r="C379" s="544"/>
      <c r="D379" s="544"/>
      <c r="E379" s="544"/>
      <c r="F379" s="544"/>
      <c r="G379" s="544"/>
      <c r="H379" s="544"/>
      <c r="I379" s="544"/>
      <c r="K379" s="322"/>
    </row>
    <row r="380" spans="1:11" s="17" customFormat="1" ht="16.5" customHeight="1" x14ac:dyDescent="0.2">
      <c r="A380" s="699" t="s">
        <v>1063</v>
      </c>
      <c r="B380" s="699"/>
      <c r="C380" s="699"/>
      <c r="D380" s="699"/>
      <c r="E380" s="699"/>
      <c r="F380" s="699"/>
      <c r="G380" s="699"/>
      <c r="H380" s="699"/>
      <c r="I380" s="699"/>
      <c r="K380" s="322"/>
    </row>
    <row r="381" spans="1:11" s="17" customFormat="1" ht="16.5" customHeight="1" x14ac:dyDescent="0.2">
      <c r="A381" s="524"/>
      <c r="B381" s="811" t="s">
        <v>1062</v>
      </c>
      <c r="C381" s="811"/>
      <c r="D381" s="811"/>
      <c r="E381" s="811"/>
      <c r="F381" s="811"/>
      <c r="G381" s="811"/>
      <c r="H381" s="811"/>
      <c r="I381" s="811"/>
      <c r="K381" s="322"/>
    </row>
    <row r="382" spans="1:11" s="17" customFormat="1" ht="16.5" customHeight="1" x14ac:dyDescent="0.2">
      <c r="A382" s="528"/>
      <c r="B382" s="811" t="s">
        <v>613</v>
      </c>
      <c r="C382" s="811"/>
      <c r="D382" s="811"/>
      <c r="E382" s="811"/>
      <c r="F382" s="811"/>
      <c r="G382" s="811"/>
      <c r="H382" s="811"/>
      <c r="I382" s="811"/>
      <c r="K382" s="322"/>
    </row>
    <row r="383" spans="1:11" s="17" customFormat="1" ht="16.5" customHeight="1" x14ac:dyDescent="0.2">
      <c r="A383" s="541" t="s">
        <v>1050</v>
      </c>
      <c r="B383" s="528"/>
      <c r="C383" s="528"/>
      <c r="D383" s="528"/>
      <c r="E383" s="528"/>
      <c r="F383" s="528"/>
      <c r="G383" s="528"/>
      <c r="H383" s="528"/>
      <c r="I383" s="528"/>
      <c r="K383" s="322"/>
    </row>
    <row r="384" spans="1:11" s="17" customFormat="1" ht="16.5" customHeight="1" x14ac:dyDescent="0.2">
      <c r="A384" s="541"/>
      <c r="B384" s="811" t="s">
        <v>614</v>
      </c>
      <c r="C384" s="811"/>
      <c r="D384" s="811"/>
      <c r="E384" s="811"/>
      <c r="F384" s="811"/>
      <c r="G384" s="811"/>
      <c r="H384" s="811"/>
      <c r="I384" s="811"/>
      <c r="K384" s="322"/>
    </row>
    <row r="385" spans="1:13" s="17" customFormat="1" ht="16.5" customHeight="1" x14ac:dyDescent="0.2">
      <c r="A385" s="541"/>
      <c r="B385" s="541" t="s">
        <v>1056</v>
      </c>
      <c r="C385" s="541"/>
      <c r="D385" s="541"/>
      <c r="E385" s="541"/>
      <c r="F385" s="541"/>
      <c r="G385" s="541"/>
      <c r="H385" s="541"/>
      <c r="I385" s="541"/>
      <c r="K385" s="322"/>
      <c r="M385" s="477"/>
    </row>
    <row r="386" spans="1:13" s="17" customFormat="1" ht="16.5" customHeight="1" x14ac:dyDescent="0.2">
      <c r="A386" s="586" t="s">
        <v>1057</v>
      </c>
      <c r="B386" s="586"/>
      <c r="C386" s="586"/>
      <c r="D386" s="586"/>
      <c r="E386" s="586"/>
      <c r="F386" s="586"/>
      <c r="G386" s="586"/>
      <c r="H386" s="586"/>
      <c r="I386" s="586"/>
      <c r="K386" s="322"/>
    </row>
    <row r="387" spans="1:13" s="17" customFormat="1" ht="16.5" customHeight="1" x14ac:dyDescent="0.2">
      <c r="A387" s="524"/>
      <c r="B387" s="848" t="s">
        <v>465</v>
      </c>
      <c r="C387" s="848"/>
      <c r="D387" s="848"/>
      <c r="E387" s="848"/>
      <c r="F387" s="848"/>
      <c r="G387" s="848"/>
      <c r="H387" s="848"/>
      <c r="I387" s="848"/>
      <c r="K387" s="322"/>
    </row>
    <row r="388" spans="1:13" s="17" customFormat="1" ht="16.5" customHeight="1" x14ac:dyDescent="0.2">
      <c r="A388" s="720" t="s">
        <v>1051</v>
      </c>
      <c r="B388" s="720"/>
      <c r="C388" s="720"/>
      <c r="D388" s="720"/>
      <c r="E388" s="720"/>
      <c r="F388" s="720"/>
      <c r="G388" s="720"/>
      <c r="H388" s="720"/>
      <c r="I388" s="720"/>
      <c r="K388" s="322"/>
    </row>
    <row r="389" spans="1:13" s="17" customFormat="1" ht="16.5" customHeight="1" x14ac:dyDescent="0.2">
      <c r="A389" s="524" t="s">
        <v>466</v>
      </c>
      <c r="B389" s="524"/>
      <c r="C389" s="524"/>
      <c r="D389" s="524"/>
      <c r="E389" s="524"/>
      <c r="F389" s="524"/>
      <c r="G389" s="524"/>
      <c r="H389" s="524"/>
      <c r="I389" s="524"/>
      <c r="K389" s="322"/>
    </row>
    <row r="390" spans="1:13" s="17" customFormat="1" ht="16.5" customHeight="1" x14ac:dyDescent="0.2">
      <c r="A390" s="720" t="s">
        <v>1052</v>
      </c>
      <c r="B390" s="720"/>
      <c r="C390" s="720"/>
      <c r="D390" s="720"/>
      <c r="E390" s="720"/>
      <c r="F390" s="720"/>
      <c r="G390" s="720"/>
      <c r="H390" s="720"/>
      <c r="I390" s="720"/>
      <c r="K390" s="322"/>
    </row>
    <row r="391" spans="1:13" s="17" customFormat="1" ht="16.5" customHeight="1" x14ac:dyDescent="0.2">
      <c r="A391" s="720" t="s">
        <v>1053</v>
      </c>
      <c r="B391" s="720"/>
      <c r="C391" s="720"/>
      <c r="D391" s="720"/>
      <c r="E391" s="720"/>
      <c r="F391" s="720"/>
      <c r="G391" s="720"/>
      <c r="H391" s="720"/>
      <c r="I391" s="720"/>
      <c r="K391" s="322"/>
    </row>
    <row r="392" spans="1:13" s="17" customFormat="1" ht="16.5" customHeight="1" x14ac:dyDescent="0.2">
      <c r="A392" s="724"/>
      <c r="B392" s="724"/>
      <c r="C392" s="724"/>
      <c r="D392" s="724"/>
      <c r="E392" s="724"/>
      <c r="F392" s="724"/>
      <c r="G392" s="724"/>
      <c r="H392" s="724"/>
      <c r="I392" s="724"/>
      <c r="K392" s="322"/>
    </row>
    <row r="393" spans="1:13" s="17" customFormat="1" ht="16.5" customHeight="1" x14ac:dyDescent="0.2">
      <c r="A393" s="811"/>
      <c r="B393" s="811"/>
      <c r="C393" s="811"/>
      <c r="D393" s="811"/>
      <c r="E393" s="811"/>
      <c r="F393" s="811"/>
      <c r="G393" s="811"/>
      <c r="H393" s="811"/>
      <c r="I393" s="811"/>
      <c r="K393" s="322"/>
    </row>
    <row r="394" spans="1:13" s="17" customFormat="1" ht="16.5" customHeight="1" x14ac:dyDescent="0.2">
      <c r="A394" s="15"/>
      <c r="B394" s="528"/>
      <c r="C394" s="528"/>
      <c r="D394" s="528"/>
      <c r="E394" s="528"/>
      <c r="F394" s="528"/>
      <c r="G394" s="528"/>
      <c r="H394" s="528"/>
      <c r="I394" s="39"/>
      <c r="K394" s="322"/>
    </row>
    <row r="395" spans="1:13" s="17" customFormat="1" ht="16.5" customHeight="1" x14ac:dyDescent="0.2">
      <c r="A395" s="15"/>
      <c r="B395" s="528"/>
      <c r="C395" s="528"/>
      <c r="D395" s="528"/>
      <c r="E395" s="528"/>
      <c r="F395" s="528"/>
      <c r="G395" s="528"/>
      <c r="H395" s="528"/>
      <c r="I395" s="39"/>
      <c r="K395" s="322"/>
    </row>
    <row r="396" spans="1:13" s="17" customFormat="1" ht="16.5" customHeight="1" x14ac:dyDescent="0.2">
      <c r="A396" s="15"/>
      <c r="B396" s="528"/>
      <c r="C396" s="528"/>
      <c r="D396" s="528"/>
      <c r="E396" s="528"/>
      <c r="F396" s="528"/>
      <c r="G396" s="528"/>
      <c r="H396" s="528"/>
      <c r="I396" s="39"/>
      <c r="K396" s="322"/>
    </row>
    <row r="397" spans="1:13" s="17" customFormat="1" ht="16.5" customHeight="1" x14ac:dyDescent="0.2">
      <c r="A397" s="15"/>
      <c r="B397" s="528"/>
      <c r="C397" s="528"/>
      <c r="D397" s="528"/>
      <c r="E397" s="528"/>
      <c r="F397" s="528"/>
      <c r="G397" s="528"/>
      <c r="H397" s="528"/>
      <c r="I397" s="39"/>
      <c r="K397" s="322"/>
    </row>
    <row r="398" spans="1:13" s="17" customFormat="1" ht="16.5" customHeight="1" x14ac:dyDescent="0.2">
      <c r="A398" s="15"/>
      <c r="B398" s="528"/>
      <c r="C398" s="528"/>
      <c r="D398" s="528"/>
      <c r="E398" s="528"/>
      <c r="F398" s="528"/>
      <c r="G398" s="528"/>
      <c r="H398" s="528"/>
      <c r="I398" s="39"/>
      <c r="K398" s="322"/>
    </row>
    <row r="399" spans="1:13" s="17" customFormat="1" ht="16.5" customHeight="1" x14ac:dyDescent="0.2">
      <c r="A399" s="15"/>
      <c r="B399" s="528"/>
      <c r="C399" s="528"/>
      <c r="D399" s="528"/>
      <c r="E399" s="528"/>
      <c r="F399" s="528"/>
      <c r="G399" s="528"/>
      <c r="H399" s="528"/>
      <c r="I399" s="39"/>
      <c r="K399" s="322"/>
    </row>
    <row r="400" spans="1:13" s="17" customFormat="1" ht="16.5" customHeight="1" x14ac:dyDescent="0.2">
      <c r="A400" s="15"/>
      <c r="B400" s="528"/>
      <c r="C400" s="528"/>
      <c r="D400" s="528"/>
      <c r="E400" s="528"/>
      <c r="F400" s="528"/>
      <c r="G400" s="528"/>
      <c r="H400" s="528"/>
      <c r="I400" s="39"/>
      <c r="K400" s="322"/>
    </row>
    <row r="401" spans="1:11" s="17" customFormat="1" ht="16.5" customHeight="1" x14ac:dyDescent="0.2">
      <c r="A401" s="15"/>
      <c r="B401" s="528"/>
      <c r="C401" s="528"/>
      <c r="D401" s="528"/>
      <c r="E401" s="528"/>
      <c r="F401" s="528"/>
      <c r="G401" s="528"/>
      <c r="H401" s="528"/>
      <c r="I401" s="39"/>
      <c r="K401" s="322"/>
    </row>
    <row r="402" spans="1:11" s="17" customFormat="1" ht="16.5" customHeight="1" x14ac:dyDescent="0.2">
      <c r="A402" s="15"/>
      <c r="B402" s="528"/>
      <c r="C402" s="528"/>
      <c r="D402" s="528"/>
      <c r="E402" s="528"/>
      <c r="F402" s="528"/>
      <c r="G402" s="528"/>
      <c r="H402" s="528"/>
      <c r="I402" s="39"/>
      <c r="K402" s="322"/>
    </row>
    <row r="403" spans="1:11" s="17" customFormat="1" ht="16.5" customHeight="1" x14ac:dyDescent="0.2">
      <c r="A403" s="15"/>
      <c r="B403" s="528"/>
      <c r="C403" s="528"/>
      <c r="D403" s="528"/>
      <c r="E403" s="528"/>
      <c r="F403" s="528"/>
      <c r="G403" s="528"/>
      <c r="H403" s="528"/>
      <c r="I403" s="39"/>
      <c r="K403" s="322"/>
    </row>
    <row r="404" spans="1:11" s="17" customFormat="1" ht="16.5" customHeight="1" x14ac:dyDescent="0.2">
      <c r="A404" s="15"/>
      <c r="B404" s="528"/>
      <c r="C404" s="528"/>
      <c r="D404" s="528"/>
      <c r="E404" s="528"/>
      <c r="F404" s="528"/>
      <c r="G404" s="528"/>
      <c r="H404" s="528"/>
      <c r="I404" s="39"/>
      <c r="K404" s="322"/>
    </row>
    <row r="405" spans="1:11" s="17" customFormat="1" ht="16.5" customHeight="1" x14ac:dyDescent="0.2">
      <c r="A405" s="15"/>
      <c r="B405" s="528"/>
      <c r="C405" s="528"/>
      <c r="D405" s="528"/>
      <c r="E405" s="528"/>
      <c r="F405" s="528"/>
      <c r="G405" s="528"/>
      <c r="H405" s="528"/>
      <c r="I405" s="39"/>
    </row>
    <row r="406" spans="1:11" s="17" customFormat="1" ht="16.5" customHeight="1" x14ac:dyDescent="0.2">
      <c r="A406" s="15"/>
      <c r="B406" s="528"/>
      <c r="C406" s="528"/>
      <c r="D406" s="528"/>
      <c r="E406" s="528"/>
      <c r="F406" s="528"/>
      <c r="G406" s="528"/>
      <c r="H406" s="528"/>
      <c r="I406" s="39"/>
    </row>
    <row r="407" spans="1:11" s="17" customFormat="1" ht="16.5" customHeight="1" x14ac:dyDescent="0.2">
      <c r="A407" s="15"/>
      <c r="B407" s="528"/>
      <c r="C407" s="528"/>
      <c r="D407" s="528"/>
      <c r="E407" s="528"/>
      <c r="F407" s="528"/>
      <c r="G407" s="528"/>
      <c r="H407" s="528"/>
      <c r="I407" s="39"/>
    </row>
    <row r="408" spans="1:11" s="17" customFormat="1" ht="16.5" customHeight="1" x14ac:dyDescent="0.2">
      <c r="A408" s="15"/>
      <c r="B408" s="528"/>
      <c r="C408" s="528"/>
      <c r="D408" s="528"/>
      <c r="E408" s="528"/>
      <c r="F408" s="528"/>
      <c r="G408" s="528"/>
      <c r="H408" s="528"/>
      <c r="I408" s="39"/>
    </row>
    <row r="409" spans="1:11" s="17" customFormat="1" ht="16.5" customHeight="1" x14ac:dyDescent="0.2">
      <c r="A409" s="15"/>
      <c r="B409" s="528"/>
      <c r="C409" s="528"/>
      <c r="D409" s="528"/>
      <c r="E409" s="528"/>
      <c r="F409" s="528"/>
      <c r="G409" s="528"/>
      <c r="H409" s="528"/>
      <c r="I409" s="39"/>
    </row>
    <row r="410" spans="1:11" s="17" customFormat="1" ht="16.5" customHeight="1" x14ac:dyDescent="0.2">
      <c r="A410" s="15"/>
      <c r="B410" s="528"/>
      <c r="C410" s="528"/>
      <c r="D410" s="528"/>
      <c r="E410" s="528"/>
      <c r="F410" s="528"/>
      <c r="G410" s="528"/>
      <c r="H410" s="528"/>
      <c r="I410" s="39"/>
    </row>
    <row r="411" spans="1:11" s="17" customFormat="1" ht="16.5" customHeight="1" x14ac:dyDescent="0.2">
      <c r="A411" s="15"/>
      <c r="B411" s="528"/>
      <c r="C411" s="528"/>
      <c r="D411" s="528"/>
      <c r="E411" s="528"/>
      <c r="F411" s="528"/>
      <c r="G411" s="528"/>
      <c r="H411" s="528"/>
      <c r="I411" s="39"/>
    </row>
    <row r="412" spans="1:11" s="17" customFormat="1" ht="16.5" customHeight="1" x14ac:dyDescent="0.2">
      <c r="A412" s="15"/>
      <c r="B412" s="528"/>
      <c r="C412" s="528"/>
      <c r="D412" s="528"/>
      <c r="E412" s="528"/>
      <c r="F412" s="528"/>
      <c r="G412" s="528"/>
      <c r="H412" s="528"/>
      <c r="I412" s="39"/>
    </row>
    <row r="413" spans="1:11" s="17" customFormat="1" ht="16.5" customHeight="1" x14ac:dyDescent="0.2">
      <c r="A413" s="15"/>
      <c r="B413" s="528"/>
      <c r="C413" s="528"/>
      <c r="D413" s="528"/>
      <c r="E413" s="528"/>
      <c r="F413" s="528"/>
      <c r="G413" s="528"/>
      <c r="H413" s="528"/>
      <c r="I413" s="39"/>
    </row>
    <row r="414" spans="1:11" s="17" customFormat="1" ht="16.5" customHeight="1" x14ac:dyDescent="0.2">
      <c r="A414" s="15"/>
      <c r="B414" s="528"/>
      <c r="C414" s="528"/>
      <c r="D414" s="528"/>
      <c r="E414" s="528"/>
      <c r="F414" s="528"/>
      <c r="G414" s="528"/>
      <c r="H414" s="528"/>
      <c r="I414" s="408">
        <v>6</v>
      </c>
    </row>
    <row r="415" spans="1:11" s="17" customFormat="1" ht="16.5" customHeight="1" x14ac:dyDescent="0.2">
      <c r="A415" s="15"/>
      <c r="B415" s="528"/>
      <c r="C415" s="528"/>
      <c r="D415" s="528"/>
      <c r="E415" s="528"/>
      <c r="F415" s="528"/>
      <c r="G415" s="528"/>
      <c r="H415" s="528"/>
      <c r="I415" s="39"/>
      <c r="K415" s="477"/>
    </row>
    <row r="416" spans="1:11" s="17" customFormat="1" ht="16.5" customHeight="1" x14ac:dyDescent="0.2">
      <c r="A416" s="15"/>
      <c r="B416" s="528"/>
      <c r="C416" s="528"/>
      <c r="D416" s="528"/>
      <c r="E416" s="528"/>
      <c r="F416" s="528"/>
      <c r="G416" s="528"/>
      <c r="H416" s="528"/>
      <c r="I416" s="39"/>
    </row>
    <row r="417" spans="1:9" s="17" customFormat="1" ht="16.5" customHeight="1" x14ac:dyDescent="0.2">
      <c r="A417" s="818" t="s">
        <v>581</v>
      </c>
      <c r="B417" s="818"/>
      <c r="C417" s="818"/>
      <c r="D417" s="818"/>
      <c r="E417" s="818"/>
      <c r="F417" s="818"/>
      <c r="G417" s="818"/>
      <c r="H417" s="818"/>
      <c r="I417" s="818"/>
    </row>
    <row r="418" spans="1:9" s="17" customFormat="1" ht="16.5" customHeight="1" x14ac:dyDescent="0.2">
      <c r="A418" s="128"/>
      <c r="B418" s="128"/>
      <c r="C418" s="128"/>
      <c r="D418" s="128"/>
      <c r="E418" s="128"/>
      <c r="F418" s="128"/>
      <c r="G418" s="128"/>
      <c r="H418" s="128"/>
      <c r="I418" s="570"/>
    </row>
    <row r="419" spans="1:9" s="17" customFormat="1" ht="16.5" customHeight="1" x14ac:dyDescent="0.2">
      <c r="A419" s="724" t="s">
        <v>582</v>
      </c>
      <c r="B419" s="724"/>
      <c r="C419" s="724"/>
      <c r="D419" s="724"/>
      <c r="E419" s="724"/>
      <c r="F419" s="724"/>
      <c r="G419" s="724"/>
      <c r="H419" s="724"/>
      <c r="I419" s="724"/>
    </row>
    <row r="420" spans="1:9" s="17" customFormat="1" ht="16.5" customHeight="1" x14ac:dyDescent="0.2">
      <c r="A420" s="724"/>
      <c r="B420" s="724"/>
      <c r="C420" s="724"/>
      <c r="D420" s="724"/>
      <c r="E420" s="724"/>
      <c r="F420" s="724"/>
      <c r="G420" s="724"/>
      <c r="H420" s="724"/>
      <c r="I420" s="724"/>
    </row>
    <row r="421" spans="1:9" s="17" customFormat="1" ht="16.5" customHeight="1" x14ac:dyDescent="0.2">
      <c r="A421" s="518"/>
      <c r="B421" s="518"/>
      <c r="C421" s="15"/>
      <c r="D421" s="828" t="s">
        <v>85</v>
      </c>
      <c r="E421" s="828"/>
      <c r="F421" s="828"/>
      <c r="G421" s="518"/>
      <c r="H421" s="523"/>
      <c r="I421" s="523"/>
    </row>
    <row r="422" spans="1:9" s="17" customFormat="1" ht="16.5" customHeight="1" x14ac:dyDescent="0.2">
      <c r="A422" s="518"/>
      <c r="B422" s="518"/>
      <c r="C422" s="15"/>
      <c r="D422" s="570"/>
      <c r="E422" s="570"/>
      <c r="F422" s="570"/>
      <c r="G422" s="518"/>
      <c r="H422" s="523"/>
      <c r="I422" s="523"/>
    </row>
    <row r="423" spans="1:9" s="17" customFormat="1" ht="16.5" customHeight="1" x14ac:dyDescent="0.2">
      <c r="A423" s="809" t="s">
        <v>150</v>
      </c>
      <c r="B423" s="702" t="s">
        <v>151</v>
      </c>
      <c r="C423" s="703"/>
      <c r="D423" s="530" t="s">
        <v>386</v>
      </c>
      <c r="E423" s="530" t="s">
        <v>152</v>
      </c>
      <c r="F423" s="840" t="s">
        <v>153</v>
      </c>
      <c r="G423" s="842" t="s">
        <v>154</v>
      </c>
      <c r="H423" s="844" t="s">
        <v>154</v>
      </c>
      <c r="I423" s="845"/>
    </row>
    <row r="424" spans="1:9" s="17" customFormat="1" ht="16.5" customHeight="1" x14ac:dyDescent="0.2">
      <c r="A424" s="810"/>
      <c r="B424" s="704"/>
      <c r="C424" s="705"/>
      <c r="D424" s="531" t="s">
        <v>573</v>
      </c>
      <c r="E424" s="531" t="s">
        <v>573</v>
      </c>
      <c r="F424" s="841"/>
      <c r="G424" s="843"/>
      <c r="H424" s="846"/>
      <c r="I424" s="847"/>
    </row>
    <row r="425" spans="1:9" s="17" customFormat="1" ht="16.5" customHeight="1" x14ac:dyDescent="0.2">
      <c r="A425" s="512">
        <v>1</v>
      </c>
      <c r="B425" s="710">
        <v>2</v>
      </c>
      <c r="C425" s="711"/>
      <c r="D425" s="129">
        <v>3</v>
      </c>
      <c r="E425" s="130">
        <v>4</v>
      </c>
      <c r="F425" s="131">
        <v>5</v>
      </c>
      <c r="G425" s="132">
        <v>6</v>
      </c>
      <c r="H425" s="838">
        <v>7</v>
      </c>
      <c r="I425" s="839"/>
    </row>
    <row r="426" spans="1:9" s="17" customFormat="1" ht="16.5" customHeight="1" x14ac:dyDescent="0.2">
      <c r="A426" s="554">
        <v>10</v>
      </c>
      <c r="B426" s="759" t="s">
        <v>155</v>
      </c>
      <c r="C426" s="760"/>
      <c r="D426" s="443">
        <v>32092009</v>
      </c>
      <c r="E426" s="443">
        <v>32092008.870000001</v>
      </c>
      <c r="F426" s="133">
        <f>E426-D426</f>
        <v>-0.12999999895691872</v>
      </c>
      <c r="G426" s="134">
        <f>D426/D432</f>
        <v>0.85676874079645293</v>
      </c>
      <c r="H426" s="836">
        <f t="shared" ref="H426" si="32">E426/E432</f>
        <v>0.79869112266172326</v>
      </c>
      <c r="I426" s="837"/>
    </row>
    <row r="427" spans="1:9" s="17" customFormat="1" ht="16.5" customHeight="1" x14ac:dyDescent="0.2">
      <c r="A427" s="554">
        <v>21</v>
      </c>
      <c r="B427" s="759" t="s">
        <v>156</v>
      </c>
      <c r="C427" s="760"/>
      <c r="D427" s="391">
        <v>5365017</v>
      </c>
      <c r="E427" s="391">
        <v>5365016.99</v>
      </c>
      <c r="F427" s="133">
        <f t="shared" ref="F427:F431" si="33">E427-D427</f>
        <v>-9.9999997764825821E-3</v>
      </c>
      <c r="G427" s="134">
        <f>D427/D432</f>
        <v>0.14323125920354701</v>
      </c>
      <c r="H427" s="836">
        <f t="shared" ref="H427" si="34">E427/E432</f>
        <v>0.13352206962799332</v>
      </c>
      <c r="I427" s="837"/>
    </row>
    <row r="428" spans="1:9" s="17" customFormat="1" ht="16.5" customHeight="1" x14ac:dyDescent="0.2">
      <c r="A428" s="554">
        <v>22</v>
      </c>
      <c r="B428" s="759" t="s">
        <v>615</v>
      </c>
      <c r="C428" s="760"/>
      <c r="D428" s="391">
        <v>0</v>
      </c>
      <c r="E428" s="102">
        <v>1599327.18</v>
      </c>
      <c r="F428" s="133">
        <f t="shared" si="33"/>
        <v>1599327.18</v>
      </c>
      <c r="G428" s="134">
        <f>D428/D432</f>
        <v>0</v>
      </c>
      <c r="H428" s="836">
        <f>E428/E432</f>
        <v>3.9803317582019847E-2</v>
      </c>
      <c r="I428" s="837"/>
    </row>
    <row r="429" spans="1:9" s="17" customFormat="1" ht="16.5" customHeight="1" x14ac:dyDescent="0.2">
      <c r="A429" s="554">
        <v>31</v>
      </c>
      <c r="B429" s="759" t="s">
        <v>157</v>
      </c>
      <c r="C429" s="760"/>
      <c r="D429" s="391">
        <v>0</v>
      </c>
      <c r="E429" s="102">
        <f>23104.81+40408.8+2015.49+352</f>
        <v>65881.100000000006</v>
      </c>
      <c r="F429" s="133">
        <f t="shared" si="33"/>
        <v>65881.100000000006</v>
      </c>
      <c r="G429" s="134">
        <f>D429/D432</f>
        <v>0</v>
      </c>
      <c r="H429" s="836">
        <f>E429/E432</f>
        <v>1.6396184462723932E-3</v>
      </c>
      <c r="I429" s="837"/>
    </row>
    <row r="430" spans="1:9" s="17" customFormat="1" ht="16.5" customHeight="1" x14ac:dyDescent="0.2">
      <c r="A430" s="554" t="s">
        <v>158</v>
      </c>
      <c r="B430" s="759" t="s">
        <v>140</v>
      </c>
      <c r="C430" s="760"/>
      <c r="D430" s="102">
        <v>0</v>
      </c>
      <c r="E430" s="102">
        <f>11766.09+124402.38+7866.92+860.01+912200.25+420.89+1000</f>
        <v>1058516.5399999998</v>
      </c>
      <c r="F430" s="133">
        <f t="shared" si="33"/>
        <v>1058516.5399999998</v>
      </c>
      <c r="G430" s="134">
        <f>D430/D432</f>
        <v>0</v>
      </c>
      <c r="H430" s="836">
        <f>E430/E432</f>
        <v>2.634387168199118E-2</v>
      </c>
      <c r="I430" s="837"/>
    </row>
    <row r="431" spans="1:9" s="17" customFormat="1" ht="16.5" customHeight="1" x14ac:dyDescent="0.2">
      <c r="A431" s="81" t="s">
        <v>159</v>
      </c>
      <c r="B431" s="716" t="s">
        <v>160</v>
      </c>
      <c r="C431" s="717"/>
      <c r="D431" s="5">
        <v>0</v>
      </c>
      <c r="E431" s="444">
        <v>0</v>
      </c>
      <c r="F431" s="133">
        <f t="shared" si="33"/>
        <v>0</v>
      </c>
      <c r="G431" s="134">
        <f>D431/D432</f>
        <v>0</v>
      </c>
      <c r="H431" s="836">
        <f>E431/E432</f>
        <v>0</v>
      </c>
      <c r="I431" s="837"/>
    </row>
    <row r="432" spans="1:9" s="17" customFormat="1" ht="16.5" customHeight="1" x14ac:dyDescent="0.2">
      <c r="A432" s="135"/>
      <c r="B432" s="718" t="s">
        <v>461</v>
      </c>
      <c r="C432" s="719"/>
      <c r="D432" s="459">
        <f>D426+D427+D428+D429+D430+D431</f>
        <v>37457026</v>
      </c>
      <c r="E432" s="459">
        <f t="shared" ref="E432:F432" si="35">E426+E427+E428+E429+E430+E431</f>
        <v>40180750.68</v>
      </c>
      <c r="F432" s="136">
        <f t="shared" si="35"/>
        <v>2723724.6800000011</v>
      </c>
      <c r="G432" s="137">
        <f>G426+G427+G428+G429+G430+G431</f>
        <v>1</v>
      </c>
      <c r="H432" s="834">
        <f t="shared" ref="H432" si="36">H426+H427+H428+H429+H430+H431</f>
        <v>0.99999999999999989</v>
      </c>
      <c r="I432" s="835"/>
    </row>
    <row r="433" spans="1:18" s="17" customFormat="1" ht="16.5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537"/>
      <c r="K433" s="696"/>
      <c r="L433" s="696"/>
      <c r="M433" s="696"/>
      <c r="N433" s="696"/>
      <c r="O433" s="696"/>
      <c r="P433" s="696"/>
      <c r="Q433" s="696"/>
      <c r="R433" s="696"/>
    </row>
    <row r="434" spans="1:18" s="17" customFormat="1" ht="16.5" customHeight="1" x14ac:dyDescent="0.25">
      <c r="A434" s="518"/>
      <c r="B434" s="724" t="s">
        <v>599</v>
      </c>
      <c r="C434" s="724"/>
      <c r="D434" s="724"/>
      <c r="E434" s="724"/>
      <c r="F434" s="724"/>
      <c r="G434" s="724"/>
      <c r="H434" s="724"/>
      <c r="I434" s="724"/>
      <c r="K434" s="749"/>
      <c r="L434" s="749"/>
      <c r="M434" s="749"/>
      <c r="N434" s="749"/>
      <c r="O434" s="749"/>
      <c r="P434" s="749"/>
      <c r="Q434" s="749"/>
      <c r="R434" s="749"/>
    </row>
    <row r="435" spans="1:18" s="17" customFormat="1" ht="16.5" customHeight="1" x14ac:dyDescent="0.25">
      <c r="A435" s="518"/>
      <c r="B435" s="724" t="s">
        <v>600</v>
      </c>
      <c r="C435" s="724"/>
      <c r="D435" s="724"/>
      <c r="E435" s="724"/>
      <c r="F435" s="724"/>
      <c r="G435" s="724"/>
      <c r="H435" s="724"/>
      <c r="I435" s="724"/>
      <c r="K435" s="749"/>
      <c r="L435" s="749"/>
      <c r="M435" s="749"/>
      <c r="N435" s="749"/>
      <c r="O435" s="749"/>
      <c r="P435" s="749"/>
      <c r="Q435" s="749"/>
      <c r="R435" s="749"/>
    </row>
    <row r="436" spans="1:18" s="17" customFormat="1" ht="16.5" customHeight="1" x14ac:dyDescent="0.25">
      <c r="A436" s="518"/>
      <c r="B436" s="724" t="s">
        <v>601</v>
      </c>
      <c r="C436" s="724"/>
      <c r="D436" s="724"/>
      <c r="E436" s="724"/>
      <c r="F436" s="724"/>
      <c r="G436" s="724"/>
      <c r="H436" s="724"/>
      <c r="I436" s="724"/>
      <c r="K436" s="749"/>
      <c r="L436" s="749"/>
      <c r="M436" s="749"/>
      <c r="N436" s="749"/>
      <c r="O436" s="749"/>
      <c r="P436" s="749"/>
      <c r="Q436" s="749"/>
      <c r="R436" s="749"/>
    </row>
    <row r="437" spans="1:18" s="17" customFormat="1" ht="16.5" customHeight="1" x14ac:dyDescent="0.25">
      <c r="A437" s="518"/>
      <c r="B437" s="724" t="s">
        <v>602</v>
      </c>
      <c r="C437" s="724"/>
      <c r="D437" s="724"/>
      <c r="E437" s="724"/>
      <c r="F437" s="724"/>
      <c r="G437" s="724"/>
      <c r="H437" s="724"/>
      <c r="I437" s="724"/>
      <c r="K437" s="749"/>
      <c r="L437" s="749"/>
      <c r="M437" s="749"/>
      <c r="N437" s="749"/>
      <c r="O437" s="749"/>
      <c r="P437" s="749"/>
      <c r="Q437" s="749"/>
      <c r="R437" s="749"/>
    </row>
    <row r="438" spans="1:18" s="17" customFormat="1" ht="16.5" customHeight="1" x14ac:dyDescent="0.25">
      <c r="A438" s="518"/>
      <c r="B438" s="724" t="s">
        <v>443</v>
      </c>
      <c r="C438" s="724"/>
      <c r="D438" s="724"/>
      <c r="E438" s="724"/>
      <c r="F438" s="724"/>
      <c r="G438" s="724"/>
      <c r="H438" s="724"/>
      <c r="I438" s="724"/>
      <c r="K438" s="749"/>
      <c r="L438" s="749"/>
      <c r="M438" s="749"/>
      <c r="N438" s="749"/>
      <c r="O438" s="749"/>
      <c r="P438" s="749"/>
      <c r="Q438" s="749"/>
      <c r="R438" s="749"/>
    </row>
    <row r="439" spans="1:18" s="17" customFormat="1" ht="16.5" customHeight="1" x14ac:dyDescent="0.25">
      <c r="A439" s="586"/>
      <c r="B439" s="724" t="s">
        <v>603</v>
      </c>
      <c r="C439" s="724"/>
      <c r="D439" s="724"/>
      <c r="E439" s="724"/>
      <c r="F439" s="724"/>
      <c r="G439" s="724"/>
      <c r="H439" s="724"/>
      <c r="I439" s="724"/>
      <c r="K439" s="749"/>
      <c r="L439" s="749"/>
      <c r="M439" s="749"/>
      <c r="N439" s="749"/>
      <c r="O439" s="749"/>
      <c r="P439" s="749"/>
      <c r="Q439" s="749"/>
      <c r="R439" s="749"/>
    </row>
    <row r="440" spans="1:18" s="17" customFormat="1" ht="16.5" customHeight="1" x14ac:dyDescent="0.25">
      <c r="A440" s="586"/>
      <c r="B440" s="724" t="s">
        <v>604</v>
      </c>
      <c r="C440" s="724"/>
      <c r="D440" s="724"/>
      <c r="E440" s="724"/>
      <c r="F440" s="724"/>
      <c r="G440" s="724"/>
      <c r="H440" s="724"/>
      <c r="I440" s="724"/>
      <c r="K440" s="749"/>
      <c r="L440" s="749"/>
      <c r="M440" s="749"/>
      <c r="N440" s="749"/>
      <c r="O440" s="749"/>
      <c r="P440" s="749"/>
      <c r="Q440" s="749"/>
      <c r="R440" s="749"/>
    </row>
    <row r="441" spans="1:18" s="17" customFormat="1" ht="16.5" customHeight="1" x14ac:dyDescent="0.25">
      <c r="A441" s="138"/>
      <c r="B441" s="833" t="s">
        <v>605</v>
      </c>
      <c r="C441" s="833"/>
      <c r="D441" s="833"/>
      <c r="E441" s="833"/>
      <c r="F441" s="833"/>
      <c r="G441" s="833"/>
      <c r="H441" s="833"/>
      <c r="I441" s="833"/>
      <c r="K441" s="749"/>
      <c r="L441" s="749"/>
      <c r="M441" s="749"/>
      <c r="N441" s="749"/>
      <c r="O441" s="749"/>
      <c r="P441" s="749"/>
      <c r="Q441" s="749"/>
      <c r="R441" s="749"/>
    </row>
    <row r="442" spans="1:18" s="17" customFormat="1" ht="16.5" customHeight="1" x14ac:dyDescent="0.25">
      <c r="A442" s="138"/>
      <c r="B442" s="576"/>
      <c r="C442" s="576"/>
      <c r="D442" s="576"/>
      <c r="E442" s="576"/>
      <c r="F442" s="576"/>
      <c r="G442" s="576"/>
      <c r="H442" s="576"/>
      <c r="I442" s="576"/>
      <c r="K442" s="696"/>
      <c r="L442" s="696"/>
      <c r="M442" s="696"/>
      <c r="N442" s="696"/>
      <c r="O442" s="696"/>
      <c r="P442" s="696"/>
      <c r="Q442" s="696"/>
      <c r="R442" s="696"/>
    </row>
    <row r="443" spans="1:18" s="17" customFormat="1" ht="16.5" customHeight="1" x14ac:dyDescent="0.2"/>
    <row r="444" spans="1:18" s="17" customFormat="1" ht="16.5" customHeight="1" x14ac:dyDescent="0.2">
      <c r="A444" s="586"/>
      <c r="B444" s="724" t="s">
        <v>606</v>
      </c>
      <c r="C444" s="724"/>
      <c r="D444" s="724"/>
      <c r="E444" s="724"/>
      <c r="F444" s="724"/>
      <c r="G444" s="724"/>
      <c r="H444" s="539"/>
      <c r="I444" s="539"/>
    </row>
    <row r="445" spans="1:18" s="17" customFormat="1" ht="16.5" customHeight="1" x14ac:dyDescent="0.2">
      <c r="A445" s="586"/>
      <c r="B445" s="518" t="s">
        <v>530</v>
      </c>
      <c r="C445" s="518"/>
      <c r="D445" s="518"/>
      <c r="E445" s="479">
        <v>23104.81</v>
      </c>
      <c r="F445" s="518" t="s">
        <v>560</v>
      </c>
      <c r="G445" s="518"/>
      <c r="H445" s="539"/>
      <c r="I445" s="539"/>
    </row>
    <row r="446" spans="1:18" s="17" customFormat="1" ht="16.5" customHeight="1" x14ac:dyDescent="0.2">
      <c r="A446" s="586"/>
      <c r="B446" s="518" t="s">
        <v>511</v>
      </c>
      <c r="C446" s="518"/>
      <c r="D446" s="518"/>
      <c r="E446" s="479">
        <f>40408.8+2015.49</f>
        <v>42424.29</v>
      </c>
      <c r="F446" s="518" t="s">
        <v>597</v>
      </c>
      <c r="G446" s="518"/>
      <c r="H446" s="539"/>
      <c r="I446" s="539"/>
    </row>
    <row r="447" spans="1:18" s="17" customFormat="1" ht="16.5" customHeight="1" x14ac:dyDescent="0.2">
      <c r="A447" s="586"/>
      <c r="B447" s="518" t="s">
        <v>512</v>
      </c>
      <c r="C447" s="518"/>
      <c r="D447" s="518"/>
      <c r="E447" s="479">
        <v>352</v>
      </c>
      <c r="F447" s="518" t="s">
        <v>560</v>
      </c>
      <c r="G447" s="518"/>
      <c r="H447" s="539"/>
      <c r="I447" s="539"/>
    </row>
    <row r="448" spans="1:18" s="17" customFormat="1" ht="16.5" customHeight="1" x14ac:dyDescent="0.2">
      <c r="A448" s="586"/>
      <c r="B448" s="518"/>
      <c r="C448" s="518"/>
      <c r="D448" s="518"/>
      <c r="E448" s="518"/>
      <c r="F448" s="518"/>
      <c r="G448" s="518"/>
      <c r="H448" s="539"/>
      <c r="I448" s="539"/>
    </row>
    <row r="449" spans="1:12" s="17" customFormat="1" ht="16.5" customHeight="1" x14ac:dyDescent="0.2">
      <c r="A449" s="586"/>
      <c r="B449" s="518" t="s">
        <v>542</v>
      </c>
      <c r="C449" s="518"/>
      <c r="D449" s="518"/>
      <c r="E449" s="518"/>
      <c r="F449" s="518"/>
      <c r="G449" s="518"/>
      <c r="H449" s="539"/>
      <c r="I449" s="539"/>
    </row>
    <row r="450" spans="1:12" s="17" customFormat="1" ht="16.5" customHeight="1" x14ac:dyDescent="0.2">
      <c r="A450" s="586">
        <v>46</v>
      </c>
      <c r="B450" s="518" t="s">
        <v>543</v>
      </c>
      <c r="C450" s="518"/>
      <c r="D450" s="442">
        <v>11766.09</v>
      </c>
      <c r="E450" s="518" t="s">
        <v>598</v>
      </c>
      <c r="F450" s="518"/>
      <c r="G450" s="518"/>
      <c r="H450" s="539"/>
      <c r="I450" s="539"/>
    </row>
    <row r="451" spans="1:12" s="17" customFormat="1" ht="16.5" customHeight="1" x14ac:dyDescent="0.2">
      <c r="A451" s="586">
        <v>49</v>
      </c>
      <c r="B451" s="724" t="s">
        <v>439</v>
      </c>
      <c r="C451" s="724"/>
      <c r="D451" s="378">
        <v>124402.38</v>
      </c>
      <c r="E451" s="539" t="s">
        <v>583</v>
      </c>
      <c r="F451" s="21"/>
      <c r="G451" s="518"/>
      <c r="H451" s="586"/>
      <c r="I451" s="586"/>
    </row>
    <row r="452" spans="1:12" s="17" customFormat="1" ht="16.5" customHeight="1" x14ac:dyDescent="0.2">
      <c r="A452" s="605"/>
      <c r="B452" s="604"/>
      <c r="C452" s="604"/>
      <c r="D452" s="378"/>
      <c r="E452" s="608" t="s">
        <v>561</v>
      </c>
      <c r="F452" s="21"/>
      <c r="G452" s="604"/>
      <c r="H452" s="605"/>
      <c r="I452" s="605"/>
    </row>
    <row r="453" spans="1:12" s="17" customFormat="1" ht="16.5" customHeight="1" x14ac:dyDescent="0.2">
      <c r="A453" s="615">
        <v>54</v>
      </c>
      <c r="B453" s="614" t="s">
        <v>475</v>
      </c>
      <c r="C453" s="614"/>
      <c r="D453" s="378">
        <v>7866.92</v>
      </c>
      <c r="E453" s="616" t="s">
        <v>519</v>
      </c>
      <c r="F453" s="21"/>
      <c r="G453" s="614"/>
      <c r="H453" s="615"/>
      <c r="I453" s="615"/>
    </row>
    <row r="454" spans="1:12" s="17" customFormat="1" ht="16.5" customHeight="1" x14ac:dyDescent="0.2">
      <c r="A454" s="586">
        <v>61</v>
      </c>
      <c r="B454" s="586" t="s">
        <v>515</v>
      </c>
      <c r="C454" s="21"/>
      <c r="D454" s="379">
        <v>912200.25</v>
      </c>
      <c r="E454" s="539" t="s">
        <v>1044</v>
      </c>
      <c r="F454" s="539"/>
      <c r="G454" s="539"/>
      <c r="H454" s="539"/>
      <c r="I454" s="539"/>
    </row>
    <row r="455" spans="1:12" s="17" customFormat="1" ht="16.5" customHeight="1" x14ac:dyDescent="0.2">
      <c r="A455" s="586">
        <v>65</v>
      </c>
      <c r="B455" s="586" t="s">
        <v>513</v>
      </c>
      <c r="C455" s="21"/>
      <c r="D455" s="379">
        <v>420.89</v>
      </c>
      <c r="E455" s="539" t="s">
        <v>563</v>
      </c>
      <c r="F455" s="539"/>
      <c r="G455" s="539"/>
      <c r="H455" s="539"/>
      <c r="I455" s="539"/>
    </row>
    <row r="456" spans="1:12" s="17" customFormat="1" ht="16.5" customHeight="1" x14ac:dyDescent="0.2">
      <c r="A456" s="586">
        <v>97</v>
      </c>
      <c r="B456" s="586" t="s">
        <v>514</v>
      </c>
      <c r="C456" s="21"/>
      <c r="D456" s="379">
        <v>1000</v>
      </c>
      <c r="E456" s="539" t="s">
        <v>564</v>
      </c>
      <c r="F456" s="539"/>
      <c r="G456" s="539"/>
      <c r="H456" s="539"/>
      <c r="I456" s="539"/>
    </row>
    <row r="457" spans="1:12" s="17" customFormat="1" ht="16.5" customHeight="1" x14ac:dyDescent="0.2">
      <c r="A457" s="586">
        <v>60</v>
      </c>
      <c r="B457" s="586" t="s">
        <v>516</v>
      </c>
      <c r="C457" s="21"/>
      <c r="D457" s="379">
        <v>860.01</v>
      </c>
      <c r="E457" s="539" t="s">
        <v>562</v>
      </c>
      <c r="F457" s="539"/>
      <c r="G457" s="539"/>
      <c r="H457" s="539"/>
      <c r="I457" s="539"/>
    </row>
    <row r="458" spans="1:12" s="17" customFormat="1" ht="16.5" customHeight="1" x14ac:dyDescent="0.2">
      <c r="A458" s="586"/>
      <c r="B458" s="140" t="s">
        <v>161</v>
      </c>
      <c r="C458" s="21"/>
      <c r="D458" s="638">
        <f>D450+D451+D453+D454+D455+D456+D457</f>
        <v>1058516.54</v>
      </c>
      <c r="E458" s="141"/>
      <c r="F458" s="141"/>
      <c r="G458" s="141"/>
      <c r="H458" s="539"/>
      <c r="I458" s="139"/>
    </row>
    <row r="459" spans="1:12" s="17" customFormat="1" ht="16.5" customHeight="1" x14ac:dyDescent="0.2">
      <c r="A459" s="586"/>
      <c r="G459" s="141"/>
      <c r="H459" s="539"/>
      <c r="I459" s="139"/>
      <c r="L459" s="139"/>
    </row>
    <row r="460" spans="1:12" s="17" customFormat="1" ht="16.5" customHeight="1" x14ac:dyDescent="0.25">
      <c r="A460" s="521"/>
      <c r="B460" s="831"/>
      <c r="C460" s="749"/>
      <c r="D460" s="749"/>
      <c r="E460" s="749"/>
      <c r="F460" s="749"/>
      <c r="G460" s="749"/>
      <c r="H460" s="749"/>
      <c r="I460" s="749"/>
    </row>
    <row r="461" spans="1:12" s="17" customFormat="1" ht="16.5" customHeight="1" x14ac:dyDescent="0.25">
      <c r="A461" s="832"/>
      <c r="B461" s="749"/>
      <c r="C461" s="749"/>
      <c r="D461" s="749"/>
      <c r="E461" s="749"/>
      <c r="F461" s="749"/>
      <c r="G461" s="749"/>
      <c r="H461" s="749"/>
      <c r="I461" s="749"/>
    </row>
    <row r="462" spans="1:12" s="17" customFormat="1" ht="16.5" customHeight="1" x14ac:dyDescent="0.25">
      <c r="A462" s="749"/>
      <c r="B462" s="749"/>
      <c r="C462" s="749"/>
      <c r="D462" s="749"/>
      <c r="E462" s="749"/>
      <c r="F462" s="749"/>
      <c r="G462" s="749"/>
      <c r="H462" s="749"/>
      <c r="I462" s="749"/>
    </row>
    <row r="463" spans="1:12" s="17" customFormat="1" ht="16.5" customHeight="1" x14ac:dyDescent="0.25">
      <c r="A463" s="667"/>
      <c r="B463" s="667"/>
      <c r="C463" s="667"/>
      <c r="D463" s="667"/>
      <c r="E463" s="667"/>
      <c r="F463" s="667"/>
      <c r="G463" s="667"/>
      <c r="H463" s="667"/>
      <c r="I463" s="667"/>
    </row>
    <row r="464" spans="1:12" s="17" customFormat="1" ht="16.5" customHeight="1" x14ac:dyDescent="0.25">
      <c r="A464" s="667"/>
      <c r="B464" s="667"/>
      <c r="C464" s="667"/>
      <c r="D464" s="667"/>
      <c r="E464" s="667"/>
      <c r="F464" s="667"/>
      <c r="G464" s="667"/>
      <c r="H464" s="667"/>
      <c r="I464" s="667"/>
    </row>
    <row r="465" spans="1:9" s="17" customFormat="1" ht="16.5" customHeight="1" x14ac:dyDescent="0.25">
      <c r="A465" s="667"/>
      <c r="B465" s="667"/>
      <c r="C465" s="667"/>
      <c r="D465" s="667"/>
      <c r="E465" s="667"/>
      <c r="F465" s="667"/>
      <c r="G465" s="667"/>
      <c r="H465" s="667"/>
      <c r="I465" s="667"/>
    </row>
    <row r="466" spans="1:9" s="17" customFormat="1" ht="16.5" customHeight="1" x14ac:dyDescent="0.25">
      <c r="A466" s="667"/>
      <c r="B466" s="667"/>
      <c r="C466" s="667"/>
      <c r="D466" s="667"/>
      <c r="E466" s="667"/>
      <c r="F466" s="667"/>
      <c r="G466" s="667"/>
      <c r="H466" s="667"/>
      <c r="I466" s="667"/>
    </row>
    <row r="467" spans="1:9" s="17" customFormat="1" ht="16.5" customHeight="1" x14ac:dyDescent="0.25">
      <c r="A467" s="667"/>
      <c r="B467" s="667"/>
      <c r="C467" s="667"/>
      <c r="D467" s="667"/>
      <c r="E467" s="667"/>
      <c r="F467" s="667"/>
      <c r="G467" s="667"/>
      <c r="H467" s="667"/>
      <c r="I467" s="667"/>
    </row>
    <row r="468" spans="1:9" s="17" customFormat="1" ht="16.5" customHeight="1" x14ac:dyDescent="0.25">
      <c r="A468" s="667"/>
      <c r="B468" s="667"/>
      <c r="C468" s="667"/>
      <c r="D468" s="667"/>
      <c r="E468" s="667"/>
      <c r="F468" s="667"/>
      <c r="G468" s="667"/>
      <c r="H468" s="667"/>
      <c r="I468" s="667"/>
    </row>
    <row r="469" spans="1:9" s="17" customFormat="1" ht="16.5" customHeight="1" x14ac:dyDescent="0.25">
      <c r="A469" s="667"/>
      <c r="B469" s="667"/>
      <c r="C469" s="667"/>
      <c r="D469" s="667"/>
      <c r="E469" s="667"/>
      <c r="F469" s="667"/>
      <c r="G469" s="667"/>
      <c r="H469" s="667"/>
      <c r="I469" s="667"/>
    </row>
    <row r="470" spans="1:9" s="17" customFormat="1" ht="16.5" customHeight="1" x14ac:dyDescent="0.25">
      <c r="A470" s="667"/>
      <c r="B470" s="667"/>
      <c r="C470" s="667"/>
      <c r="D470" s="667"/>
      <c r="E470" s="667"/>
      <c r="F470" s="667"/>
      <c r="G470" s="667"/>
      <c r="H470" s="667"/>
      <c r="I470" s="667"/>
    </row>
    <row r="471" spans="1:9" s="17" customFormat="1" ht="16.5" customHeight="1" x14ac:dyDescent="0.25">
      <c r="A471" s="667"/>
      <c r="B471" s="667"/>
      <c r="C471" s="667"/>
      <c r="D471" s="667"/>
      <c r="E471" s="667"/>
      <c r="F471" s="667"/>
      <c r="G471" s="667"/>
      <c r="H471" s="667"/>
      <c r="I471" s="667"/>
    </row>
    <row r="472" spans="1:9" s="17" customFormat="1" ht="16.5" customHeight="1" x14ac:dyDescent="0.25">
      <c r="A472" s="521" t="s">
        <v>544</v>
      </c>
      <c r="B472" s="575"/>
      <c r="C472" s="521"/>
      <c r="D472" s="521"/>
      <c r="E472" s="521"/>
      <c r="F472" s="521"/>
      <c r="G472" s="521"/>
      <c r="H472" s="521"/>
      <c r="I472" s="521"/>
    </row>
    <row r="473" spans="1:9" s="17" customFormat="1" ht="16.5" customHeight="1" x14ac:dyDescent="0.2">
      <c r="A473" s="518"/>
      <c r="B473" s="518"/>
      <c r="C473" s="518"/>
      <c r="D473" s="518"/>
      <c r="E473" s="518"/>
      <c r="F473" s="518"/>
      <c r="G473" s="518"/>
      <c r="H473" s="518"/>
      <c r="I473" s="225">
        <v>7</v>
      </c>
    </row>
    <row r="474" spans="1:9" s="17" customFormat="1" ht="16.5" customHeight="1" x14ac:dyDescent="0.2">
      <c r="A474" s="518"/>
      <c r="B474" s="518"/>
      <c r="C474" s="518"/>
      <c r="D474" s="518"/>
      <c r="E474" s="518"/>
      <c r="F474" s="518"/>
      <c r="G474" s="518"/>
      <c r="H474" s="518"/>
      <c r="I474" s="518"/>
    </row>
    <row r="475" spans="1:9" s="17" customFormat="1" ht="16.5" customHeight="1" x14ac:dyDescent="0.2">
      <c r="A475" s="21"/>
      <c r="B475" s="21"/>
      <c r="C475" s="21"/>
      <c r="D475" s="828" t="s">
        <v>85</v>
      </c>
      <c r="E475" s="828"/>
      <c r="F475" s="828"/>
      <c r="G475" s="21"/>
      <c r="H475" s="21"/>
      <c r="I475" s="537"/>
    </row>
    <row r="476" spans="1:9" s="17" customFormat="1" ht="16.5" customHeight="1" x14ac:dyDescent="0.2">
      <c r="A476" s="21"/>
      <c r="B476" s="21"/>
      <c r="C476" s="21"/>
      <c r="D476" s="570"/>
      <c r="E476" s="570"/>
      <c r="F476" s="570"/>
      <c r="G476" s="21"/>
      <c r="H476" s="21"/>
      <c r="I476" s="537"/>
    </row>
    <row r="477" spans="1:9" s="17" customFormat="1" ht="16.5" customHeight="1" x14ac:dyDescent="0.2">
      <c r="A477" s="809" t="s">
        <v>150</v>
      </c>
      <c r="B477" s="702" t="s">
        <v>151</v>
      </c>
      <c r="C477" s="703"/>
      <c r="D477" s="380" t="s">
        <v>86</v>
      </c>
      <c r="E477" s="530" t="s">
        <v>152</v>
      </c>
      <c r="F477" s="40" t="s">
        <v>87</v>
      </c>
      <c r="G477" s="706" t="s">
        <v>52</v>
      </c>
      <c r="H477" s="707"/>
      <c r="I477" s="534" t="s">
        <v>53</v>
      </c>
    </row>
    <row r="478" spans="1:9" s="17" customFormat="1" ht="16.5" customHeight="1" x14ac:dyDescent="0.2">
      <c r="A478" s="810"/>
      <c r="B478" s="704"/>
      <c r="C478" s="705"/>
      <c r="D478" s="381" t="s">
        <v>541</v>
      </c>
      <c r="E478" s="41" t="s">
        <v>573</v>
      </c>
      <c r="F478" s="41" t="s">
        <v>607</v>
      </c>
      <c r="G478" s="24" t="s">
        <v>55</v>
      </c>
      <c r="H478" s="24" t="s">
        <v>56</v>
      </c>
      <c r="I478" s="535"/>
    </row>
    <row r="479" spans="1:9" s="17" customFormat="1" ht="16.5" customHeight="1" x14ac:dyDescent="0.2">
      <c r="A479" s="131">
        <v>1</v>
      </c>
      <c r="B479" s="512">
        <v>2</v>
      </c>
      <c r="C479" s="513"/>
      <c r="D479" s="129">
        <v>3</v>
      </c>
      <c r="E479" s="130">
        <v>4</v>
      </c>
      <c r="F479" s="129">
        <v>5</v>
      </c>
      <c r="G479" s="129">
        <v>6</v>
      </c>
      <c r="H479" s="129">
        <v>7</v>
      </c>
      <c r="I479" s="142">
        <v>8</v>
      </c>
    </row>
    <row r="480" spans="1:9" s="17" customFormat="1" ht="16.5" customHeight="1" x14ac:dyDescent="0.2">
      <c r="A480" s="81">
        <v>10</v>
      </c>
      <c r="B480" s="716" t="s">
        <v>162</v>
      </c>
      <c r="C480" s="717"/>
      <c r="D480" s="5">
        <v>20965535.280000001</v>
      </c>
      <c r="E480" s="443">
        <v>32092008.870000001</v>
      </c>
      <c r="F480" s="5">
        <v>26328246.850000001</v>
      </c>
      <c r="G480" s="143">
        <f t="shared" ref="G480:G486" si="37">F480/D480</f>
        <v>1.2557870094123349</v>
      </c>
      <c r="H480" s="143">
        <f t="shared" ref="H480:H486" si="38">F480/E480</f>
        <v>0.82039883999321606</v>
      </c>
      <c r="I480" s="144">
        <f>F480/F486</f>
        <v>0.87073868236341811</v>
      </c>
    </row>
    <row r="481" spans="1:21" s="17" customFormat="1" ht="16.5" customHeight="1" x14ac:dyDescent="0.2">
      <c r="A481" s="81">
        <v>21</v>
      </c>
      <c r="B481" s="716" t="s">
        <v>97</v>
      </c>
      <c r="C481" s="717"/>
      <c r="D481" s="145">
        <v>2323676.7999999998</v>
      </c>
      <c r="E481" s="391">
        <v>5365016.99</v>
      </c>
      <c r="F481" s="145">
        <v>2855174.03</v>
      </c>
      <c r="G481" s="143">
        <f t="shared" si="37"/>
        <v>1.2287311342093703</v>
      </c>
      <c r="H481" s="143">
        <f t="shared" si="38"/>
        <v>0.53218359519118685</v>
      </c>
      <c r="I481" s="144">
        <f>F481/F486</f>
        <v>9.4427497849157022E-2</v>
      </c>
    </row>
    <row r="482" spans="1:21" s="17" customFormat="1" ht="16.5" customHeight="1" x14ac:dyDescent="0.2">
      <c r="A482" s="81">
        <v>22</v>
      </c>
      <c r="B482" s="716" t="s">
        <v>163</v>
      </c>
      <c r="C482" s="717"/>
      <c r="D482" s="145">
        <v>1732877.69</v>
      </c>
      <c r="E482" s="102">
        <v>1599327.18</v>
      </c>
      <c r="F482" s="145">
        <v>770259.39</v>
      </c>
      <c r="G482" s="143">
        <f t="shared" si="37"/>
        <v>0.44449726281605023</v>
      </c>
      <c r="H482" s="143">
        <f t="shared" si="38"/>
        <v>0.48161464372787066</v>
      </c>
      <c r="I482" s="144">
        <f>F482/F486</f>
        <v>2.5474337510879505E-2</v>
      </c>
    </row>
    <row r="483" spans="1:21" s="17" customFormat="1" ht="16.5" customHeight="1" x14ac:dyDescent="0.2">
      <c r="A483" s="81">
        <v>31</v>
      </c>
      <c r="B483" s="716" t="s">
        <v>157</v>
      </c>
      <c r="C483" s="717"/>
      <c r="D483" s="5">
        <v>33600</v>
      </c>
      <c r="E483" s="102">
        <f>23104.81+40408.8+2015.49+352</f>
        <v>65881.100000000006</v>
      </c>
      <c r="F483" s="5">
        <v>40408.800000000003</v>
      </c>
      <c r="G483" s="143">
        <f t="shared" si="37"/>
        <v>1.2026428571428571</v>
      </c>
      <c r="H483" s="143">
        <f t="shared" si="38"/>
        <v>0.61335952192662235</v>
      </c>
      <c r="I483" s="144">
        <f>F483/F486</f>
        <v>1.3364165669043358E-3</v>
      </c>
      <c r="N483" s="431"/>
    </row>
    <row r="484" spans="1:21" s="17" customFormat="1" ht="16.5" customHeight="1" x14ac:dyDescent="0.2">
      <c r="A484" s="81" t="s">
        <v>158</v>
      </c>
      <c r="B484" s="716" t="s">
        <v>140</v>
      </c>
      <c r="C484" s="717"/>
      <c r="D484" s="5">
        <f>7400.3+189461.38</f>
        <v>196861.68</v>
      </c>
      <c r="E484" s="102">
        <f>11766.09+124402.38+7866.92+860.01+912200.25+420.89+1000</f>
        <v>1058516.5399999998</v>
      </c>
      <c r="F484" s="5">
        <f>8534.45+92562.12+1494.3+140000</f>
        <v>242590.87</v>
      </c>
      <c r="G484" s="143">
        <f t="shared" si="37"/>
        <v>1.2322909669367852</v>
      </c>
      <c r="H484" s="143">
        <f t="shared" si="38"/>
        <v>0.22918004663394304</v>
      </c>
      <c r="I484" s="144">
        <f>F484/F486</f>
        <v>8.0230657096408697E-3</v>
      </c>
      <c r="N484" s="431"/>
    </row>
    <row r="485" spans="1:21" s="17" customFormat="1" ht="16.5" customHeight="1" x14ac:dyDescent="0.2">
      <c r="A485" s="81" t="s">
        <v>159</v>
      </c>
      <c r="B485" s="716" t="s">
        <v>160</v>
      </c>
      <c r="C485" s="717"/>
      <c r="D485" s="5">
        <v>0</v>
      </c>
      <c r="E485" s="444">
        <v>0</v>
      </c>
      <c r="F485" s="5">
        <v>0</v>
      </c>
      <c r="G485" s="143" t="e">
        <f t="shared" si="37"/>
        <v>#DIV/0!</v>
      </c>
      <c r="H485" s="143" t="e">
        <f t="shared" si="38"/>
        <v>#DIV/0!</v>
      </c>
      <c r="I485" s="144">
        <f>F485/F486</f>
        <v>0</v>
      </c>
      <c r="N485" s="431"/>
    </row>
    <row r="486" spans="1:21" s="17" customFormat="1" ht="18" customHeight="1" x14ac:dyDescent="0.2">
      <c r="A486" s="146"/>
      <c r="B486" s="718" t="s">
        <v>84</v>
      </c>
      <c r="C486" s="719"/>
      <c r="D486" s="448">
        <f>D480+D481+D482+D483+D484+D485</f>
        <v>25252551.450000003</v>
      </c>
      <c r="E486" s="448">
        <f t="shared" ref="E486" si="39">E480+E481+E482+E483+E484+E485</f>
        <v>40180750.68</v>
      </c>
      <c r="F486" s="448">
        <f>F480+F481+F482+F483+F484+F485</f>
        <v>30236679.940000005</v>
      </c>
      <c r="G486" s="148">
        <f t="shared" si="37"/>
        <v>1.1973712834470831</v>
      </c>
      <c r="H486" s="148">
        <f t="shared" si="38"/>
        <v>0.75251655153994756</v>
      </c>
      <c r="I486" s="137">
        <f>I480+I481+I482+I483+I484</f>
        <v>0.99999999999999978</v>
      </c>
      <c r="N486" s="431"/>
    </row>
    <row r="487" spans="1:21" s="17" customFormat="1" ht="16.5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K487" s="517"/>
      <c r="L487" s="516"/>
      <c r="M487" s="516"/>
      <c r="N487" s="516"/>
      <c r="O487" s="516"/>
      <c r="P487" s="516"/>
      <c r="R487" s="431"/>
      <c r="S487" s="431"/>
      <c r="T487" s="431"/>
      <c r="U487" s="431"/>
    </row>
    <row r="488" spans="1:21" s="17" customFormat="1" ht="16.5" customHeight="1" x14ac:dyDescent="0.2">
      <c r="A488" s="586"/>
      <c r="B488" s="724" t="s">
        <v>616</v>
      </c>
      <c r="C488" s="724"/>
      <c r="D488" s="724"/>
      <c r="E488" s="724"/>
      <c r="F488" s="724"/>
      <c r="G488" s="724"/>
      <c r="H488" s="724"/>
      <c r="I488" s="724"/>
      <c r="K488" s="517"/>
      <c r="L488" s="516"/>
      <c r="M488" s="516"/>
      <c r="N488" s="516"/>
      <c r="O488" s="516"/>
      <c r="P488" s="516"/>
    </row>
    <row r="489" spans="1:21" s="17" customFormat="1" ht="16.5" customHeight="1" x14ac:dyDescent="0.2">
      <c r="A489" s="586" t="s">
        <v>617</v>
      </c>
      <c r="B489" s="586"/>
      <c r="C489" s="586"/>
      <c r="D489" s="586"/>
      <c r="E489" s="586"/>
      <c r="F489" s="586"/>
      <c r="G489" s="586"/>
      <c r="H489" s="586"/>
      <c r="I489" s="586"/>
      <c r="K489" s="517"/>
      <c r="L489" s="516"/>
      <c r="M489" s="516"/>
      <c r="N489" s="516"/>
      <c r="O489" s="516"/>
      <c r="P489" s="516"/>
    </row>
    <row r="490" spans="1:21" s="17" customFormat="1" ht="16.5" customHeight="1" x14ac:dyDescent="0.2">
      <c r="A490" s="720" t="s">
        <v>618</v>
      </c>
      <c r="B490" s="720"/>
      <c r="C490" s="720"/>
      <c r="D490" s="720"/>
      <c r="E490" s="720"/>
      <c r="F490" s="720"/>
      <c r="G490" s="720"/>
      <c r="H490" s="720"/>
      <c r="I490" s="720"/>
      <c r="K490" s="517"/>
      <c r="L490" s="516"/>
      <c r="M490" s="516"/>
      <c r="N490" s="516"/>
      <c r="O490" s="516"/>
      <c r="P490" s="516"/>
    </row>
    <row r="491" spans="1:21" s="516" customFormat="1" ht="16.5" customHeight="1" x14ac:dyDescent="0.2">
      <c r="K491" s="517"/>
    </row>
    <row r="492" spans="1:21" s="516" customFormat="1" ht="16.5" customHeight="1" x14ac:dyDescent="0.2">
      <c r="B492" s="516" t="s">
        <v>164</v>
      </c>
      <c r="K492" s="517"/>
    </row>
    <row r="493" spans="1:21" s="516" customFormat="1" ht="16.5" customHeight="1" x14ac:dyDescent="0.2">
      <c r="D493" s="830" t="s">
        <v>165</v>
      </c>
      <c r="E493" s="830"/>
      <c r="F493" s="830"/>
    </row>
    <row r="494" spans="1:21" s="17" customFormat="1" ht="16.5" customHeight="1" x14ac:dyDescent="0.2">
      <c r="A494" s="586"/>
      <c r="B494" s="586"/>
      <c r="C494" s="15"/>
      <c r="D494" s="570"/>
      <c r="E494" s="570"/>
      <c r="F494" s="570"/>
      <c r="G494" s="586"/>
      <c r="H494" s="537"/>
      <c r="I494" s="537"/>
    </row>
    <row r="495" spans="1:21" s="17" customFormat="1" ht="16.5" customHeight="1" x14ac:dyDescent="0.2">
      <c r="A495" s="572" t="s">
        <v>48</v>
      </c>
      <c r="B495" s="702" t="s">
        <v>49</v>
      </c>
      <c r="C495" s="703"/>
      <c r="D495" s="380" t="s">
        <v>86</v>
      </c>
      <c r="E495" s="530" t="s">
        <v>152</v>
      </c>
      <c r="F495" s="40" t="s">
        <v>87</v>
      </c>
      <c r="G495" s="706" t="s">
        <v>52</v>
      </c>
      <c r="H495" s="707"/>
      <c r="I495" s="708" t="s">
        <v>53</v>
      </c>
    </row>
    <row r="496" spans="1:21" s="17" customFormat="1" ht="16.5" customHeight="1" x14ac:dyDescent="0.2">
      <c r="A496" s="23" t="s">
        <v>54</v>
      </c>
      <c r="B496" s="704"/>
      <c r="C496" s="705"/>
      <c r="D496" s="438" t="s">
        <v>541</v>
      </c>
      <c r="E496" s="41" t="s">
        <v>573</v>
      </c>
      <c r="F496" s="41" t="s">
        <v>607</v>
      </c>
      <c r="G496" s="24" t="s">
        <v>55</v>
      </c>
      <c r="H496" s="24" t="s">
        <v>56</v>
      </c>
      <c r="I496" s="709"/>
    </row>
    <row r="497" spans="1:9" s="17" customFormat="1" ht="16.5" customHeight="1" x14ac:dyDescent="0.2">
      <c r="A497" s="150">
        <v>1</v>
      </c>
      <c r="B497" s="807">
        <v>2</v>
      </c>
      <c r="C497" s="808"/>
      <c r="D497" s="577">
        <v>3</v>
      </c>
      <c r="E497" s="151">
        <v>4</v>
      </c>
      <c r="F497" s="152">
        <v>5</v>
      </c>
      <c r="G497" s="153">
        <v>6</v>
      </c>
      <c r="H497" s="153">
        <v>7</v>
      </c>
      <c r="I497" s="154">
        <v>8</v>
      </c>
    </row>
    <row r="498" spans="1:9" s="17" customFormat="1" ht="16.5" customHeight="1" x14ac:dyDescent="0.2">
      <c r="A498" s="552">
        <v>16019</v>
      </c>
      <c r="B498" s="790" t="s">
        <v>57</v>
      </c>
      <c r="C498" s="791"/>
      <c r="D498" s="168">
        <f>110190.21+33663.52+294445</f>
        <v>438298.73</v>
      </c>
      <c r="E498" s="449">
        <f>213113.14+47500+290144.11</f>
        <v>550757.25</v>
      </c>
      <c r="F498" s="168">
        <f>144580.2+42415.51+260599.2</f>
        <v>447594.91000000003</v>
      </c>
      <c r="G498" s="148">
        <f t="shared" ref="G498:G524" si="40">F498/D498</f>
        <v>1.0212096895649232</v>
      </c>
      <c r="H498" s="148">
        <f t="shared" ref="H498:H524" si="41">F498/E498</f>
        <v>0.81269000090330179</v>
      </c>
      <c r="I498" s="137">
        <f>F498/F539</f>
        <v>1.4803044212796599E-2</v>
      </c>
    </row>
    <row r="499" spans="1:9" s="17" customFormat="1" ht="16.5" customHeight="1" x14ac:dyDescent="0.2">
      <c r="A499" s="552">
        <v>163</v>
      </c>
      <c r="B499" s="790" t="s">
        <v>17</v>
      </c>
      <c r="C499" s="791"/>
      <c r="D499" s="382">
        <f t="shared" ref="D499:F499" si="42">D500+D501+D502</f>
        <v>1183734.9000000001</v>
      </c>
      <c r="E499" s="382">
        <f>E502+E501+E500</f>
        <v>3252102.41</v>
      </c>
      <c r="F499" s="382">
        <f t="shared" si="42"/>
        <v>2308525.94</v>
      </c>
      <c r="G499" s="148">
        <f t="shared" si="40"/>
        <v>1.9502051852995124</v>
      </c>
      <c r="H499" s="148">
        <f t="shared" si="41"/>
        <v>0.70985647097134308</v>
      </c>
      <c r="I499" s="48">
        <f>F499/F539</f>
        <v>7.6348525849428958E-2</v>
      </c>
    </row>
    <row r="500" spans="1:9" s="17" customFormat="1" ht="16.5" customHeight="1" x14ac:dyDescent="0.2">
      <c r="A500" s="533">
        <v>16319</v>
      </c>
      <c r="B500" s="801" t="s">
        <v>166</v>
      </c>
      <c r="C500" s="802"/>
      <c r="D500" s="5">
        <f>250039.04+724486.86+73983.67+125463.3</f>
        <v>1173972.8700000001</v>
      </c>
      <c r="E500" s="428">
        <f>403350.19+2377158.52+122500+325000</f>
        <v>3228008.71</v>
      </c>
      <c r="F500" s="5">
        <f>288675.68+1728664.95+79754.82+193980.93</f>
        <v>2291076.38</v>
      </c>
      <c r="G500" s="143">
        <f t="shared" si="40"/>
        <v>1.9515581991260154</v>
      </c>
      <c r="H500" s="143">
        <f t="shared" si="41"/>
        <v>0.70974913199661094</v>
      </c>
      <c r="I500" s="76">
        <f>F500/F499</f>
        <v>0.99244125452625409</v>
      </c>
    </row>
    <row r="501" spans="1:9" s="17" customFormat="1" ht="16.5" customHeight="1" x14ac:dyDescent="0.2">
      <c r="A501" s="533">
        <v>16519</v>
      </c>
      <c r="B501" s="801" t="s">
        <v>167</v>
      </c>
      <c r="C501" s="802"/>
      <c r="D501" s="5">
        <f>1738.92</f>
        <v>1738.92</v>
      </c>
      <c r="E501" s="428">
        <f>6537.3+6500</f>
        <v>13037.3</v>
      </c>
      <c r="F501" s="5">
        <f>1693.28+4602.83</f>
        <v>6296.11</v>
      </c>
      <c r="G501" s="143">
        <f t="shared" si="40"/>
        <v>3.6207013548639382</v>
      </c>
      <c r="H501" s="143">
        <f t="shared" si="41"/>
        <v>0.4829305147538217</v>
      </c>
      <c r="I501" s="76">
        <f>F501/F499</f>
        <v>2.7273291111470032E-3</v>
      </c>
    </row>
    <row r="502" spans="1:9" s="17" customFormat="1" ht="16.5" customHeight="1" x14ac:dyDescent="0.2">
      <c r="A502" s="533">
        <v>16559</v>
      </c>
      <c r="B502" s="801" t="s">
        <v>168</v>
      </c>
      <c r="C502" s="802"/>
      <c r="D502" s="5">
        <f>5795.14+2227.97</f>
        <v>8023.1100000000006</v>
      </c>
      <c r="E502" s="428">
        <f>8256.4+2800</f>
        <v>11056.4</v>
      </c>
      <c r="F502" s="5">
        <f>9879.45+1274</f>
        <v>11153.45</v>
      </c>
      <c r="G502" s="143">
        <f t="shared" si="40"/>
        <v>1.3901654096728078</v>
      </c>
      <c r="H502" s="143">
        <f t="shared" si="41"/>
        <v>1.0087777215006695</v>
      </c>
      <c r="I502" s="76">
        <f>F502/F499</f>
        <v>4.8314163625988978E-3</v>
      </c>
    </row>
    <row r="503" spans="1:9" s="17" customFormat="1" ht="16.5" customHeight="1" x14ac:dyDescent="0.2">
      <c r="A503" s="552">
        <v>16637</v>
      </c>
      <c r="B503" s="790" t="s">
        <v>64</v>
      </c>
      <c r="C503" s="791"/>
      <c r="D503" s="158">
        <f>154326.26+40865.9</f>
        <v>195192.16</v>
      </c>
      <c r="E503" s="450">
        <f>258957.18+73500</f>
        <v>332457.18</v>
      </c>
      <c r="F503" s="158">
        <f>166800.83+70500</f>
        <v>237300.83</v>
      </c>
      <c r="G503" s="148">
        <f t="shared" si="40"/>
        <v>1.2157293100296651</v>
      </c>
      <c r="H503" s="148">
        <f t="shared" si="41"/>
        <v>0.71377862857406171</v>
      </c>
      <c r="I503" s="48">
        <f>F503/F539</f>
        <v>7.848111316152654E-3</v>
      </c>
    </row>
    <row r="504" spans="1:9" s="17" customFormat="1" ht="16.5" customHeight="1" x14ac:dyDescent="0.2">
      <c r="A504" s="552">
        <v>16795</v>
      </c>
      <c r="B504" s="790" t="s">
        <v>65</v>
      </c>
      <c r="C504" s="791"/>
      <c r="D504" s="158">
        <f>17419.1+300</f>
        <v>17719.099999999999</v>
      </c>
      <c r="E504" s="450">
        <f>29709.58+1000</f>
        <v>30709.58</v>
      </c>
      <c r="F504" s="158">
        <f>20466.49+970</f>
        <v>21436.49</v>
      </c>
      <c r="G504" s="148">
        <f t="shared" si="40"/>
        <v>1.2097956442482973</v>
      </c>
      <c r="H504" s="148">
        <f t="shared" si="41"/>
        <v>0.69803917865369702</v>
      </c>
      <c r="I504" s="48">
        <f>F504/F539</f>
        <v>7.0895647414125453E-4</v>
      </c>
    </row>
    <row r="505" spans="1:9" s="17" customFormat="1" ht="16.5" customHeight="1" x14ac:dyDescent="0.2">
      <c r="A505" s="552">
        <v>16919</v>
      </c>
      <c r="B505" s="790" t="s">
        <v>66</v>
      </c>
      <c r="C505" s="791"/>
      <c r="D505" s="168">
        <f>192516.47+7168.2</f>
        <v>199684.67</v>
      </c>
      <c r="E505" s="450">
        <f>229856.86+54000</f>
        <v>283856.86</v>
      </c>
      <c r="F505" s="168">
        <f>171069.73+15976.76</f>
        <v>187046.49000000002</v>
      </c>
      <c r="G505" s="148">
        <f t="shared" si="40"/>
        <v>0.93670931273792835</v>
      </c>
      <c r="H505" s="148">
        <f t="shared" si="41"/>
        <v>0.65894651973533436</v>
      </c>
      <c r="I505" s="48">
        <f>F505/F539</f>
        <v>6.1860789733252704E-3</v>
      </c>
    </row>
    <row r="506" spans="1:9" s="17" customFormat="1" ht="16.5" customHeight="1" x14ac:dyDescent="0.2">
      <c r="A506" s="552">
        <v>17519</v>
      </c>
      <c r="B506" s="790" t="s">
        <v>25</v>
      </c>
      <c r="C506" s="791"/>
      <c r="D506" s="168">
        <f>182660.61+48671.46+334968.66</f>
        <v>566300.73</v>
      </c>
      <c r="E506" s="449">
        <f>253393.82+51899.65+1161193.29</f>
        <v>1466486.76</v>
      </c>
      <c r="F506" s="168">
        <f>176135.36+48071.31+360000</f>
        <v>584206.66999999993</v>
      </c>
      <c r="G506" s="148">
        <f t="shared" si="40"/>
        <v>1.0316191363553424</v>
      </c>
      <c r="H506" s="148">
        <f t="shared" si="41"/>
        <v>0.39837159525395233</v>
      </c>
      <c r="I506" s="48">
        <f>F506/F539</f>
        <v>1.9321124910514891E-2</v>
      </c>
    </row>
    <row r="507" spans="1:9" s="17" customFormat="1" ht="16.5" customHeight="1" x14ac:dyDescent="0.2">
      <c r="A507" s="552">
        <v>180</v>
      </c>
      <c r="B507" s="790" t="s">
        <v>169</v>
      </c>
      <c r="C507" s="791"/>
      <c r="D507" s="158">
        <f t="shared" ref="D507:F507" si="43">D508+D509</f>
        <v>4613111.3600000003</v>
      </c>
      <c r="E507" s="158">
        <f t="shared" si="43"/>
        <v>9535478.0500000007</v>
      </c>
      <c r="F507" s="158">
        <f t="shared" si="43"/>
        <v>5790794.0199999996</v>
      </c>
      <c r="G507" s="148">
        <f t="shared" si="40"/>
        <v>1.2552903166855263</v>
      </c>
      <c r="H507" s="148">
        <f t="shared" si="41"/>
        <v>0.60728932410473113</v>
      </c>
      <c r="I507" s="48">
        <f>F507/F539</f>
        <v>0.19151553780014643</v>
      </c>
    </row>
    <row r="508" spans="1:9" s="17" customFormat="1" ht="16.5" customHeight="1" x14ac:dyDescent="0.2">
      <c r="A508" s="533">
        <v>18019</v>
      </c>
      <c r="B508" s="801" t="s">
        <v>170</v>
      </c>
      <c r="C508" s="802"/>
      <c r="D508" s="145">
        <f>61095.1+479102.23+243010.02+3588256.44</f>
        <v>4371463.79</v>
      </c>
      <c r="E508" s="426">
        <f>128580.3+682000+401053.18+7786993.03</f>
        <v>8998626.5099999998</v>
      </c>
      <c r="F508" s="145">
        <f>93546.55+618048.6+334344.86+4403921.74</f>
        <v>5449861.75</v>
      </c>
      <c r="G508" s="143">
        <f t="shared" si="40"/>
        <v>1.246690356321126</v>
      </c>
      <c r="H508" s="143">
        <f t="shared" si="41"/>
        <v>0.60563262003858853</v>
      </c>
      <c r="I508" s="76">
        <f>F508/F507</f>
        <v>0.94112512570426399</v>
      </c>
    </row>
    <row r="509" spans="1:9" s="17" customFormat="1" ht="16.5" customHeight="1" x14ac:dyDescent="0.2">
      <c r="A509" s="533">
        <v>18295</v>
      </c>
      <c r="B509" s="801" t="s">
        <v>171</v>
      </c>
      <c r="C509" s="802"/>
      <c r="D509" s="145">
        <f>202557.92+28596.87+10492.78</f>
        <v>241647.57</v>
      </c>
      <c r="E509" s="426">
        <f>355851.54+46500+34500+100000</f>
        <v>536851.54</v>
      </c>
      <c r="F509" s="145">
        <f>260346.62+35673.67+16856.98+28055</f>
        <v>340932.26999999996</v>
      </c>
      <c r="G509" s="143">
        <f t="shared" si="40"/>
        <v>1.4108657082709333</v>
      </c>
      <c r="H509" s="143">
        <f t="shared" si="41"/>
        <v>0.63505875385958643</v>
      </c>
      <c r="I509" s="76">
        <f>F509/F507</f>
        <v>5.887487429573604E-2</v>
      </c>
    </row>
    <row r="510" spans="1:9" s="17" customFormat="1" ht="16.5" customHeight="1" x14ac:dyDescent="0.2">
      <c r="A510" s="552">
        <v>19595</v>
      </c>
      <c r="B510" s="790" t="s">
        <v>172</v>
      </c>
      <c r="C510" s="791"/>
      <c r="D510" s="158">
        <f>49804.84+3822.02+100000</f>
        <v>153626.85999999999</v>
      </c>
      <c r="E510" s="450">
        <f>52784.97+13500+410000</f>
        <v>476284.97</v>
      </c>
      <c r="F510" s="158">
        <f>35083.27+7653.9+295397.93</f>
        <v>338135.1</v>
      </c>
      <c r="G510" s="148">
        <f t="shared" si="40"/>
        <v>2.2010154995031468</v>
      </c>
      <c r="H510" s="148">
        <f t="shared" si="41"/>
        <v>0.70994283107443013</v>
      </c>
      <c r="I510" s="48">
        <f>F510/F539</f>
        <v>1.1182944049114407E-2</v>
      </c>
    </row>
    <row r="511" spans="1:9" s="17" customFormat="1" ht="16.5" customHeight="1" x14ac:dyDescent="0.2">
      <c r="A511" s="552">
        <v>47019</v>
      </c>
      <c r="B511" s="790" t="s">
        <v>71</v>
      </c>
      <c r="C511" s="791"/>
      <c r="D511" s="158">
        <f>105092.83+8567.12+189669+687133</f>
        <v>990461.95</v>
      </c>
      <c r="E511" s="450">
        <f>160415.44+69000+245418.31+542500.26</f>
        <v>1017334.01</v>
      </c>
      <c r="F511" s="158">
        <f>110166.96+7876.8+240222.18+296758.6</f>
        <v>655024.54</v>
      </c>
      <c r="G511" s="148">
        <f t="shared" si="40"/>
        <v>0.66133236112704785</v>
      </c>
      <c r="H511" s="148">
        <f t="shared" si="41"/>
        <v>0.64386379847853514</v>
      </c>
      <c r="I511" s="48">
        <f>F511/F539</f>
        <v>2.1663242832870362E-2</v>
      </c>
    </row>
    <row r="512" spans="1:9" s="17" customFormat="1" ht="16.5" customHeight="1" x14ac:dyDescent="0.2">
      <c r="A512" s="552">
        <v>48019</v>
      </c>
      <c r="B512" s="790" t="s">
        <v>72</v>
      </c>
      <c r="C512" s="791"/>
      <c r="D512" s="158">
        <f>54457.86+98391.63+83464</f>
        <v>236313.49</v>
      </c>
      <c r="E512" s="450">
        <f>87936.29+66168.47+100000+205990</f>
        <v>460094.76</v>
      </c>
      <c r="F512" s="158">
        <f>68754.63+55369.88+70317.14+83200</f>
        <v>277641.65000000002</v>
      </c>
      <c r="G512" s="148">
        <f t="shared" si="40"/>
        <v>1.1748870113170435</v>
      </c>
      <c r="H512" s="148">
        <f t="shared" si="41"/>
        <v>0.6034444947819011</v>
      </c>
      <c r="I512" s="48">
        <f>F512/F539</f>
        <v>9.1822796203464389E-3</v>
      </c>
    </row>
    <row r="513" spans="1:17" s="17" customFormat="1" ht="16.5" customHeight="1" x14ac:dyDescent="0.2">
      <c r="A513" s="552">
        <v>650</v>
      </c>
      <c r="B513" s="790" t="s">
        <v>31</v>
      </c>
      <c r="C513" s="791"/>
      <c r="D513" s="158">
        <f t="shared" ref="D513:E513" si="44">D514+D515</f>
        <v>130136.76</v>
      </c>
      <c r="E513" s="158">
        <f t="shared" si="44"/>
        <v>201702.96000000002</v>
      </c>
      <c r="F513" s="158">
        <f>F514+F515</f>
        <v>137491.59</v>
      </c>
      <c r="G513" s="148">
        <f t="shared" si="40"/>
        <v>1.0565161603838915</v>
      </c>
      <c r="H513" s="148">
        <f t="shared" si="41"/>
        <v>0.68165380418809907</v>
      </c>
      <c r="I513" s="48">
        <f>F513/F539</f>
        <v>4.5471787998163397E-3</v>
      </c>
    </row>
    <row r="514" spans="1:17" s="17" customFormat="1" ht="16.5" customHeight="1" x14ac:dyDescent="0.2">
      <c r="A514" s="533">
        <v>65095</v>
      </c>
      <c r="B514" s="801" t="s">
        <v>173</v>
      </c>
      <c r="C514" s="802"/>
      <c r="D514" s="5">
        <f>96201.22+2642.84</f>
        <v>98844.06</v>
      </c>
      <c r="E514" s="428">
        <f>142200.13+6000</f>
        <v>148200.13</v>
      </c>
      <c r="F514" s="5">
        <f>100091.76+3213.71</f>
        <v>103305.47</v>
      </c>
      <c r="G514" s="143">
        <f t="shared" si="40"/>
        <v>1.0451358432666567</v>
      </c>
      <c r="H514" s="143">
        <f t="shared" si="41"/>
        <v>0.69706733725537218</v>
      </c>
      <c r="I514" s="76">
        <f>F514/F513</f>
        <v>0.75135846490683544</v>
      </c>
    </row>
    <row r="515" spans="1:17" s="17" customFormat="1" ht="16.5" customHeight="1" x14ac:dyDescent="0.2">
      <c r="A515" s="533">
        <v>65495</v>
      </c>
      <c r="B515" s="801" t="s">
        <v>174</v>
      </c>
      <c r="C515" s="802"/>
      <c r="D515" s="5">
        <f>29238.7+2054</f>
        <v>31292.7</v>
      </c>
      <c r="E515" s="428">
        <f>49502.83+4000</f>
        <v>53502.83</v>
      </c>
      <c r="F515" s="5">
        <f>32709.52+1476.6</f>
        <v>34186.120000000003</v>
      </c>
      <c r="G515" s="143">
        <f t="shared" si="40"/>
        <v>1.0924630984223158</v>
      </c>
      <c r="H515" s="143">
        <f t="shared" si="41"/>
        <v>0.6389590980514489</v>
      </c>
      <c r="I515" s="76">
        <f>F515/F513</f>
        <v>0.24864153509316464</v>
      </c>
    </row>
    <row r="516" spans="1:17" s="17" customFormat="1" ht="16.5" customHeight="1" x14ac:dyDescent="0.2">
      <c r="A516" s="552">
        <v>66100</v>
      </c>
      <c r="B516" s="790" t="s">
        <v>74</v>
      </c>
      <c r="C516" s="791"/>
      <c r="D516" s="168">
        <f>84114.91+10923.24+144642.84</f>
        <v>239680.99</v>
      </c>
      <c r="E516" s="449">
        <f>116717.96+16000+180000</f>
        <v>312717.96000000002</v>
      </c>
      <c r="F516" s="168">
        <f>82514.86+11690.21+150000</f>
        <v>244205.07</v>
      </c>
      <c r="G516" s="148">
        <f t="shared" si="40"/>
        <v>1.0188754227024848</v>
      </c>
      <c r="H516" s="148">
        <f t="shared" si="41"/>
        <v>0.78091156005238715</v>
      </c>
      <c r="I516" s="48">
        <f>F516/F539</f>
        <v>8.0764512004819003E-3</v>
      </c>
    </row>
    <row r="517" spans="1:17" s="17" customFormat="1" ht="16.5" customHeight="1" x14ac:dyDescent="0.2">
      <c r="A517" s="552">
        <v>730</v>
      </c>
      <c r="B517" s="790" t="s">
        <v>75</v>
      </c>
      <c r="C517" s="791"/>
      <c r="D517" s="383">
        <f t="shared" ref="D517:F517" si="45">D518+D519</f>
        <v>3063959.1700000004</v>
      </c>
      <c r="E517" s="383">
        <f t="shared" si="45"/>
        <v>4885242.2799999993</v>
      </c>
      <c r="F517" s="383">
        <f t="shared" si="45"/>
        <v>3280790.96</v>
      </c>
      <c r="G517" s="148">
        <f t="shared" si="40"/>
        <v>1.0707684985240844</v>
      </c>
      <c r="H517" s="148">
        <f t="shared" si="41"/>
        <v>0.67157180175718945</v>
      </c>
      <c r="I517" s="126">
        <f>F517/F539</f>
        <v>0.10850367720630111</v>
      </c>
    </row>
    <row r="518" spans="1:17" s="17" customFormat="1" ht="16.5" customHeight="1" x14ac:dyDescent="0.2">
      <c r="A518" s="533">
        <v>73028</v>
      </c>
      <c r="B518" s="801" t="s">
        <v>175</v>
      </c>
      <c r="C518" s="802"/>
      <c r="D518" s="145">
        <f>24506.29+2109.06+29650</f>
        <v>56265.350000000006</v>
      </c>
      <c r="E518" s="426">
        <f>33064.41+5000</f>
        <v>38064.410000000003</v>
      </c>
      <c r="F518" s="145">
        <f>24724.73+3750</f>
        <v>28474.73</v>
      </c>
      <c r="G518" s="143">
        <f t="shared" si="40"/>
        <v>0.50607931879922541</v>
      </c>
      <c r="H518" s="143">
        <f t="shared" si="41"/>
        <v>0.74806702639026845</v>
      </c>
      <c r="I518" s="76">
        <f>F518/F517</f>
        <v>8.6792271580753196E-3</v>
      </c>
    </row>
    <row r="519" spans="1:17" s="17" customFormat="1" ht="16.5" customHeight="1" x14ac:dyDescent="0.2">
      <c r="A519" s="533">
        <v>74100</v>
      </c>
      <c r="B519" s="801" t="s">
        <v>176</v>
      </c>
      <c r="C519" s="802"/>
      <c r="D519" s="145">
        <f>2284653.79+484216.49+83439.14+155384.4</f>
        <v>3007693.8200000003</v>
      </c>
      <c r="E519" s="426">
        <f>3463503.42+620793.69+171000+60000+531880.76</f>
        <v>4847177.8699999992</v>
      </c>
      <c r="F519" s="145">
        <f>2485252.21+445659.8+106391.97+47200+167812.25</f>
        <v>3252316.23</v>
      </c>
      <c r="G519" s="143">
        <f t="shared" si="40"/>
        <v>1.0813322181843628</v>
      </c>
      <c r="H519" s="143">
        <f t="shared" si="41"/>
        <v>0.670971092298703</v>
      </c>
      <c r="I519" s="76">
        <f>F519/F517</f>
        <v>0.99132077284192466</v>
      </c>
    </row>
    <row r="520" spans="1:17" s="17" customFormat="1" ht="16.5" customHeight="1" x14ac:dyDescent="0.2">
      <c r="A520" s="552">
        <v>75591</v>
      </c>
      <c r="B520" s="790" t="s">
        <v>177</v>
      </c>
      <c r="C520" s="791"/>
      <c r="D520" s="204">
        <f>95679.65+6589.56+9140.07+58500+38896.4</f>
        <v>208805.68</v>
      </c>
      <c r="E520" s="451">
        <f>160209.3+23700+24600+80010.8+12000</f>
        <v>300520.09999999998</v>
      </c>
      <c r="F520" s="204">
        <f>101842.11+14634.97+10676.78+79836.61</f>
        <v>206990.47</v>
      </c>
      <c r="G520" s="148">
        <f t="shared" si="40"/>
        <v>0.9913067020015931</v>
      </c>
      <c r="H520" s="148">
        <f t="shared" si="41"/>
        <v>0.68877412858574194</v>
      </c>
      <c r="I520" s="48">
        <f>F520/F539</f>
        <v>6.8456745386973857E-3</v>
      </c>
    </row>
    <row r="521" spans="1:17" s="17" customFormat="1" ht="16.5" customHeight="1" x14ac:dyDescent="0.2">
      <c r="A521" s="552">
        <v>75592</v>
      </c>
      <c r="B521" s="547" t="s">
        <v>537</v>
      </c>
      <c r="C521" s="548"/>
      <c r="D521" s="204">
        <v>60000.68</v>
      </c>
      <c r="E521" s="451">
        <f>52505.25+45000+5000+614274.77</f>
        <v>716780.02</v>
      </c>
      <c r="F521" s="204">
        <f>16145.3+399699.84</f>
        <v>415845.14</v>
      </c>
      <c r="G521" s="148">
        <f>F521/D521</f>
        <v>6.9306737856970955</v>
      </c>
      <c r="H521" s="148">
        <f>F521/E521</f>
        <v>0.58015727056677724</v>
      </c>
      <c r="I521" s="48">
        <f>F521/F539</f>
        <v>1.3753002671760927E-2</v>
      </c>
    </row>
    <row r="522" spans="1:17" s="17" customFormat="1" ht="16.5" customHeight="1" x14ac:dyDescent="0.2">
      <c r="A522" s="552">
        <v>850</v>
      </c>
      <c r="B522" s="790" t="s">
        <v>40</v>
      </c>
      <c r="C522" s="791"/>
      <c r="D522" s="158">
        <f>D523+D524</f>
        <v>833818.58000000007</v>
      </c>
      <c r="E522" s="158">
        <f t="shared" ref="E522:F522" si="46">E523+E524</f>
        <v>2273524.3499999996</v>
      </c>
      <c r="F522" s="158">
        <f t="shared" si="46"/>
        <v>1569664.66</v>
      </c>
      <c r="G522" s="148">
        <f t="shared" si="40"/>
        <v>1.8825014189537486</v>
      </c>
      <c r="H522" s="148">
        <f t="shared" si="41"/>
        <v>0.69041031383719298</v>
      </c>
      <c r="I522" s="48">
        <f>F522/F539</f>
        <v>5.191259963444253E-2</v>
      </c>
    </row>
    <row r="523" spans="1:17" s="17" customFormat="1" ht="16.5" customHeight="1" x14ac:dyDescent="0.2">
      <c r="A523" s="184">
        <v>85019</v>
      </c>
      <c r="B523" s="358" t="s">
        <v>379</v>
      </c>
      <c r="C523" s="564"/>
      <c r="D523" s="5">
        <f>180984.92+146628.02+38812.36+200600+151961</f>
        <v>718986.3</v>
      </c>
      <c r="E523" s="428">
        <f>267250.94+85722.12+76500+314673.83+1293764.47</f>
        <v>2037911.3599999999</v>
      </c>
      <c r="F523" s="5">
        <f>177193.42+44877.13+50465.52+306697.24+827006.88</f>
        <v>1406240.19</v>
      </c>
      <c r="G523" s="143">
        <f t="shared" si="40"/>
        <v>1.9558650700298459</v>
      </c>
      <c r="H523" s="143">
        <f t="shared" si="41"/>
        <v>0.69003991910619711</v>
      </c>
      <c r="I523" s="76">
        <f>F523/F522</f>
        <v>0.89588574288217715</v>
      </c>
    </row>
    <row r="524" spans="1:17" s="17" customFormat="1" ht="16.5" customHeight="1" x14ac:dyDescent="0.2">
      <c r="A524" s="184">
        <v>85184</v>
      </c>
      <c r="B524" s="801" t="s">
        <v>380</v>
      </c>
      <c r="C524" s="802"/>
      <c r="D524" s="5">
        <f>109887.28+4061.24+883.76</f>
        <v>114832.28</v>
      </c>
      <c r="E524" s="428">
        <f>173112.99+17000+5500+40000</f>
        <v>235612.99</v>
      </c>
      <c r="F524" s="5">
        <f>113287.8+10216.6+274.25+39645.82</f>
        <v>163424.47</v>
      </c>
      <c r="G524" s="143">
        <f t="shared" si="40"/>
        <v>1.4231579308535893</v>
      </c>
      <c r="H524" s="143">
        <f t="shared" si="41"/>
        <v>0.69361400659615591</v>
      </c>
      <c r="I524" s="76">
        <f>F524/F522</f>
        <v>0.10411425711782286</v>
      </c>
    </row>
    <row r="525" spans="1:17" s="17" customFormat="1" ht="16.5" customHeight="1" x14ac:dyDescent="0.2">
      <c r="I525" s="224"/>
    </row>
    <row r="526" spans="1:17" s="17" customFormat="1" ht="16.5" customHeight="1" x14ac:dyDescent="0.2">
      <c r="I526" s="224"/>
      <c r="P526" s="516"/>
      <c r="Q526" s="322"/>
    </row>
    <row r="527" spans="1:17" s="17" customFormat="1" ht="16.5" customHeight="1" x14ac:dyDescent="0.2">
      <c r="I527" s="224"/>
      <c r="P527" s="516"/>
      <c r="Q527" s="322"/>
    </row>
    <row r="528" spans="1:17" s="17" customFormat="1" ht="16.5" customHeight="1" x14ac:dyDescent="0.2">
      <c r="I528" s="224"/>
      <c r="P528" s="666"/>
      <c r="Q528" s="322"/>
    </row>
    <row r="529" spans="1:17" s="17" customFormat="1" ht="16.5" customHeight="1" x14ac:dyDescent="0.2">
      <c r="I529" s="224"/>
      <c r="P529" s="666"/>
      <c r="Q529" s="322"/>
    </row>
    <row r="530" spans="1:17" s="17" customFormat="1" ht="16.5" customHeight="1" x14ac:dyDescent="0.2">
      <c r="I530" s="224"/>
      <c r="K530" s="322"/>
    </row>
    <row r="531" spans="1:17" s="17" customFormat="1" ht="16.5" customHeight="1" x14ac:dyDescent="0.2">
      <c r="I531" s="224"/>
    </row>
    <row r="532" spans="1:17" s="17" customFormat="1" ht="16.5" customHeight="1" x14ac:dyDescent="0.2">
      <c r="I532" s="225">
        <v>8</v>
      </c>
    </row>
    <row r="533" spans="1:17" s="17" customFormat="1" ht="16.5" customHeight="1" x14ac:dyDescent="0.2">
      <c r="I533" s="224"/>
    </row>
    <row r="534" spans="1:17" s="17" customFormat="1" ht="16.5" customHeight="1" x14ac:dyDescent="0.2">
      <c r="A534" s="552">
        <v>920</v>
      </c>
      <c r="B534" s="790" t="s">
        <v>79</v>
      </c>
      <c r="C534" s="791"/>
      <c r="D534" s="158">
        <f t="shared" ref="D534:F534" si="47">D535+D536+D537+D538</f>
        <v>12121705.640000001</v>
      </c>
      <c r="E534" s="158">
        <f t="shared" si="47"/>
        <v>14084701.18</v>
      </c>
      <c r="F534" s="158">
        <f t="shared" si="47"/>
        <v>13533985.410000002</v>
      </c>
      <c r="G534" s="148">
        <f t="shared" ref="G534:G539" si="48">F534/D534</f>
        <v>1.1165083373530922</v>
      </c>
      <c r="H534" s="148">
        <f t="shared" ref="H534:H539" si="49">F534/E534</f>
        <v>0.96089971927966755</v>
      </c>
      <c r="I534" s="48">
        <f>F534/F539</f>
        <v>0.44760156990966254</v>
      </c>
    </row>
    <row r="535" spans="1:17" s="17" customFormat="1" ht="16.5" customHeight="1" x14ac:dyDescent="0.2">
      <c r="A535" s="533">
        <v>92095</v>
      </c>
      <c r="B535" s="801" t="s">
        <v>178</v>
      </c>
      <c r="C535" s="802"/>
      <c r="D535" s="5">
        <f>71755.75+738802.66+128561.01+234084.7</f>
        <v>1173204.1200000001</v>
      </c>
      <c r="E535" s="428">
        <f>123675.15+634094.65+128000+72143.77</f>
        <v>957913.57000000007</v>
      </c>
      <c r="F535" s="5">
        <f>80782.26+418141.69+114862.5+67236.1</f>
        <v>681022.54999999993</v>
      </c>
      <c r="G535" s="143">
        <f t="shared" si="48"/>
        <v>0.58048087147869876</v>
      </c>
      <c r="H535" s="143">
        <f t="shared" si="49"/>
        <v>0.71094362928797417</v>
      </c>
      <c r="I535" s="76">
        <f>F535/F534</f>
        <v>5.0319438758727006E-2</v>
      </c>
    </row>
    <row r="536" spans="1:17" s="17" customFormat="1" ht="16.5" customHeight="1" x14ac:dyDescent="0.2">
      <c r="A536" s="533">
        <v>92570</v>
      </c>
      <c r="B536" s="801" t="s">
        <v>179</v>
      </c>
      <c r="C536" s="802"/>
      <c r="D536" s="5">
        <f>353030.13+75769.25</f>
        <v>428799.38</v>
      </c>
      <c r="E536" s="428">
        <f>575422.72+130236.32</f>
        <v>705659.04</v>
      </c>
      <c r="F536" s="5">
        <f>364904.54+96183.13</f>
        <v>461087.67</v>
      </c>
      <c r="G536" s="143">
        <f t="shared" si="48"/>
        <v>1.0752992926435667</v>
      </c>
      <c r="H536" s="143">
        <f t="shared" si="49"/>
        <v>0.65341424663106418</v>
      </c>
      <c r="I536" s="76">
        <f>F536/F534</f>
        <v>3.4068875946867146E-2</v>
      </c>
    </row>
    <row r="537" spans="1:17" s="17" customFormat="1" ht="16.5" customHeight="1" x14ac:dyDescent="0.2">
      <c r="A537" s="533">
        <v>93540</v>
      </c>
      <c r="B537" s="801" t="s">
        <v>180</v>
      </c>
      <c r="C537" s="802"/>
      <c r="D537" s="5">
        <f>6935699.23+116697.73+150128.1</f>
        <v>7202525.0600000005</v>
      </c>
      <c r="E537" s="428">
        <f>7817953.3+90005+761636.4</f>
        <v>8669594.6999999993</v>
      </c>
      <c r="F537" s="5">
        <f>8947556.98+51298.49+383046.23</f>
        <v>9381901.7000000011</v>
      </c>
      <c r="G537" s="143">
        <f t="shared" si="48"/>
        <v>1.3025850825710283</v>
      </c>
      <c r="H537" s="143">
        <f t="shared" si="49"/>
        <v>1.0821615109642901</v>
      </c>
      <c r="I537" s="76">
        <f>F537/F534</f>
        <v>0.69321056701213035</v>
      </c>
      <c r="K537" s="516"/>
      <c r="L537" s="517"/>
      <c r="N537" s="516"/>
      <c r="O537" s="516"/>
      <c r="P537" s="516"/>
      <c r="Q537" s="322"/>
    </row>
    <row r="538" spans="1:17" s="17" customFormat="1" ht="16.5" customHeight="1" x14ac:dyDescent="0.2">
      <c r="A538" s="533">
        <v>94740</v>
      </c>
      <c r="B538" s="801" t="s">
        <v>181</v>
      </c>
      <c r="C538" s="802"/>
      <c r="D538" s="5">
        <f>3309504.48+7672.6</f>
        <v>3317177.08</v>
      </c>
      <c r="E538" s="428">
        <f>3147569.25+67284.62+536680</f>
        <v>3751533.87</v>
      </c>
      <c r="F538" s="5">
        <f>2592426.11+17902.89+399644.49</f>
        <v>3009973.49</v>
      </c>
      <c r="G538" s="143">
        <f t="shared" si="48"/>
        <v>0.90739005407573847</v>
      </c>
      <c r="H538" s="143">
        <f t="shared" si="49"/>
        <v>0.80233141810872155</v>
      </c>
      <c r="I538" s="76">
        <f>F538/F534</f>
        <v>0.22240111828227541</v>
      </c>
      <c r="K538" s="516"/>
      <c r="L538" s="517"/>
      <c r="N538" s="516"/>
      <c r="O538" s="516"/>
      <c r="P538" s="516"/>
      <c r="Q538" s="322"/>
    </row>
    <row r="539" spans="1:17" s="17" customFormat="1" ht="18" customHeight="1" x14ac:dyDescent="0.2">
      <c r="A539" s="552"/>
      <c r="B539" s="560" t="s">
        <v>84</v>
      </c>
      <c r="C539" s="561"/>
      <c r="D539" s="383">
        <f>D498+D499+D503+D504+D505+D506+D507+D510+D511+D512+D513+D516+D517+D520+D521+D522+D534</f>
        <v>25252551.450000003</v>
      </c>
      <c r="E539" s="383">
        <f>E498+E499+E503+E504+E505+E506+E507+E510+E511+E512+E513+E516+E517+E520+E521+E522+E534</f>
        <v>40180750.68</v>
      </c>
      <c r="F539" s="383">
        <f>F498+F499+F503+F504+F505+F506+F507+F510+F511+F512+F513+F516+F517+F520+F521+F522+F534</f>
        <v>30236679.940000001</v>
      </c>
      <c r="G539" s="148">
        <f t="shared" si="48"/>
        <v>1.1973712834470831</v>
      </c>
      <c r="H539" s="148">
        <f t="shared" si="49"/>
        <v>0.75251655153994756</v>
      </c>
      <c r="I539" s="48">
        <f>I498+I499+I503+I504+I505+I506+I507+I510+I511+I512+I513+I516+I517+I520+I521+I522+I534</f>
        <v>1</v>
      </c>
      <c r="K539" s="322"/>
      <c r="L539" s="517"/>
      <c r="N539" s="516"/>
      <c r="O539" s="516"/>
      <c r="P539" s="516"/>
      <c r="Q539" s="322"/>
    </row>
    <row r="540" spans="1:17" s="17" customFormat="1" ht="16.5" customHeight="1" x14ac:dyDescent="0.2">
      <c r="A540" s="128"/>
      <c r="B540" s="159"/>
      <c r="C540" s="160"/>
      <c r="D540" s="160"/>
      <c r="E540" s="160"/>
      <c r="F540" s="161"/>
      <c r="G540" s="161"/>
      <c r="H540" s="162"/>
      <c r="I540" s="21"/>
      <c r="K540" s="322"/>
      <c r="L540" s="517"/>
      <c r="N540" s="516"/>
      <c r="O540" s="516"/>
      <c r="P540" s="516"/>
      <c r="Q540" s="322"/>
    </row>
    <row r="541" spans="1:17" s="17" customFormat="1" ht="16.5" customHeight="1" x14ac:dyDescent="0.2">
      <c r="A541" s="724" t="s">
        <v>620</v>
      </c>
      <c r="B541" s="724"/>
      <c r="C541" s="724"/>
      <c r="D541" s="724"/>
      <c r="E541" s="724"/>
      <c r="F541" s="724"/>
      <c r="G541" s="724"/>
      <c r="H541" s="724"/>
      <c r="I541" s="724"/>
      <c r="K541" s="322"/>
      <c r="L541" s="322"/>
      <c r="N541" s="322"/>
      <c r="O541" s="322"/>
      <c r="P541" s="322"/>
      <c r="Q541" s="322"/>
    </row>
    <row r="542" spans="1:17" s="17" customFormat="1" ht="16.5" customHeight="1" x14ac:dyDescent="0.2">
      <c r="A542" s="518" t="s">
        <v>619</v>
      </c>
      <c r="B542" s="21"/>
      <c r="C542" s="21"/>
      <c r="D542" s="21"/>
      <c r="E542" s="21"/>
      <c r="F542" s="518"/>
      <c r="G542" s="518"/>
      <c r="H542" s="518"/>
      <c r="I542" s="518"/>
      <c r="K542" s="322"/>
      <c r="L542" s="440"/>
      <c r="N542" s="322"/>
      <c r="O542" s="322"/>
      <c r="P542" s="322"/>
      <c r="Q542" s="322"/>
    </row>
    <row r="543" spans="1:17" s="17" customFormat="1" ht="16.5" customHeight="1" x14ac:dyDescent="0.2">
      <c r="A543" s="518"/>
      <c r="B543" s="518"/>
      <c r="C543" s="518"/>
      <c r="D543" s="518"/>
      <c r="E543" s="163"/>
      <c r="F543" s="21"/>
      <c r="G543" s="518"/>
      <c r="H543" s="518"/>
      <c r="I543" s="39"/>
      <c r="K543" s="322"/>
      <c r="L543" s="322"/>
      <c r="N543" s="322"/>
      <c r="O543" s="322"/>
      <c r="P543" s="322"/>
      <c r="Q543" s="322"/>
    </row>
    <row r="544" spans="1:17" s="17" customFormat="1" ht="16.5" customHeight="1" x14ac:dyDescent="0.2">
      <c r="A544" s="518"/>
      <c r="B544" s="518" t="s">
        <v>182</v>
      </c>
      <c r="C544" s="518"/>
      <c r="D544" s="518"/>
      <c r="E544" s="518"/>
      <c r="F544" s="518"/>
      <c r="G544" s="518"/>
      <c r="H544" s="518"/>
      <c r="I544" s="518"/>
      <c r="K544" s="322"/>
      <c r="L544" s="322"/>
      <c r="N544" s="322"/>
      <c r="O544" s="439"/>
      <c r="P544" s="322"/>
      <c r="Q544" s="322"/>
    </row>
    <row r="545" spans="1:18" s="17" customFormat="1" ht="16.5" customHeight="1" x14ac:dyDescent="0.2">
      <c r="A545" s="537"/>
      <c r="B545" s="164"/>
      <c r="C545" s="15"/>
      <c r="D545" s="828" t="s">
        <v>85</v>
      </c>
      <c r="E545" s="828"/>
      <c r="F545" s="828"/>
      <c r="G545" s="537"/>
      <c r="H545" s="537"/>
      <c r="I545" s="15"/>
      <c r="K545" s="322"/>
      <c r="L545" s="322"/>
      <c r="N545" s="439"/>
      <c r="O545" s="322"/>
      <c r="P545" s="322"/>
      <c r="Q545" s="322"/>
    </row>
    <row r="546" spans="1:18" s="17" customFormat="1" ht="16.5" customHeight="1" x14ac:dyDescent="0.2">
      <c r="A546" s="537"/>
      <c r="B546" s="164"/>
      <c r="C546" s="15"/>
      <c r="D546" s="570"/>
      <c r="E546" s="570"/>
      <c r="F546" s="570"/>
      <c r="G546" s="537"/>
      <c r="H546" s="537"/>
      <c r="I546" s="15"/>
      <c r="K546" s="322"/>
      <c r="L546" s="322"/>
      <c r="N546" s="322"/>
      <c r="O546" s="322"/>
      <c r="P546" s="322"/>
      <c r="Q546" s="322"/>
    </row>
    <row r="547" spans="1:18" s="17" customFormat="1" ht="16.5" customHeight="1" x14ac:dyDescent="0.2">
      <c r="A547" s="557" t="s">
        <v>48</v>
      </c>
      <c r="B547" s="702" t="s">
        <v>49</v>
      </c>
      <c r="C547" s="703"/>
      <c r="D547" s="380" t="s">
        <v>86</v>
      </c>
      <c r="E547" s="530" t="s">
        <v>152</v>
      </c>
      <c r="F547" s="40" t="s">
        <v>87</v>
      </c>
      <c r="G547" s="706" t="s">
        <v>52</v>
      </c>
      <c r="H547" s="707"/>
      <c r="I547" s="534" t="s">
        <v>53</v>
      </c>
      <c r="K547" s="516"/>
      <c r="L547" s="516"/>
      <c r="M547" s="516"/>
    </row>
    <row r="548" spans="1:18" s="17" customFormat="1" ht="16.5" customHeight="1" x14ac:dyDescent="0.2">
      <c r="A548" s="574" t="s">
        <v>183</v>
      </c>
      <c r="B548" s="704"/>
      <c r="C548" s="705"/>
      <c r="D548" s="381" t="s">
        <v>541</v>
      </c>
      <c r="E548" s="41" t="s">
        <v>573</v>
      </c>
      <c r="F548" s="41" t="s">
        <v>607</v>
      </c>
      <c r="G548" s="24" t="s">
        <v>55</v>
      </c>
      <c r="H548" s="24" t="s">
        <v>56</v>
      </c>
      <c r="I548" s="535"/>
      <c r="K548" s="516"/>
      <c r="L548" s="516"/>
      <c r="M548" s="516"/>
    </row>
    <row r="549" spans="1:18" s="17" customFormat="1" ht="16.5" customHeight="1" x14ac:dyDescent="0.2">
      <c r="A549" s="165">
        <v>1</v>
      </c>
      <c r="B549" s="581">
        <v>2</v>
      </c>
      <c r="C549" s="582"/>
      <c r="D549" s="166">
        <v>3</v>
      </c>
      <c r="E549" s="166">
        <v>4</v>
      </c>
      <c r="F549" s="166">
        <v>5</v>
      </c>
      <c r="G549" s="166">
        <v>6</v>
      </c>
      <c r="H549" s="166">
        <v>7</v>
      </c>
      <c r="I549" s="165">
        <v>8</v>
      </c>
      <c r="K549" s="516"/>
      <c r="L549" s="516"/>
      <c r="M549" s="516"/>
    </row>
    <row r="550" spans="1:18" s="17" customFormat="1" ht="16.5" customHeight="1" x14ac:dyDescent="0.2">
      <c r="A550" s="81">
        <v>111</v>
      </c>
      <c r="B550" s="716" t="s">
        <v>184</v>
      </c>
      <c r="C550" s="717"/>
      <c r="D550" s="145">
        <v>14961211.73</v>
      </c>
      <c r="E550" s="428">
        <v>18311430.66</v>
      </c>
      <c r="F550" s="145">
        <v>16650485.35</v>
      </c>
      <c r="G550" s="167">
        <f t="shared" ref="G550:G556" si="50">F550/D550</f>
        <v>1.1129102141247484</v>
      </c>
      <c r="H550" s="167">
        <f t="shared" ref="H550:H556" si="51">F550/E550</f>
        <v>0.90929461816283885</v>
      </c>
      <c r="I550" s="144">
        <f>F550/F556</f>
        <v>0.55067174646952988</v>
      </c>
      <c r="K550" s="516"/>
      <c r="L550" s="516"/>
      <c r="M550" s="516"/>
    </row>
    <row r="551" spans="1:18" s="17" customFormat="1" ht="16.5" customHeight="1" x14ac:dyDescent="0.2">
      <c r="A551" s="81">
        <v>130</v>
      </c>
      <c r="B551" s="716" t="s">
        <v>185</v>
      </c>
      <c r="C551" s="717"/>
      <c r="D551" s="145">
        <v>3075769.39</v>
      </c>
      <c r="E551" s="428">
        <v>5236363.04</v>
      </c>
      <c r="F551" s="145">
        <v>3772288.73</v>
      </c>
      <c r="G551" s="167">
        <f t="shared" si="50"/>
        <v>1.2264536939162398</v>
      </c>
      <c r="H551" s="167">
        <f t="shared" si="51"/>
        <v>0.72040244367777828</v>
      </c>
      <c r="I551" s="144">
        <f>F551/F556</f>
        <v>0.12475869498521405</v>
      </c>
      <c r="K551" s="516"/>
      <c r="L551" s="516"/>
      <c r="M551" s="516"/>
    </row>
    <row r="552" spans="1:18" s="17" customFormat="1" ht="16.5" customHeight="1" x14ac:dyDescent="0.2">
      <c r="A552" s="81">
        <v>132</v>
      </c>
      <c r="B552" s="716" t="s">
        <v>186</v>
      </c>
      <c r="C552" s="717"/>
      <c r="D552" s="145">
        <v>588322.81000000006</v>
      </c>
      <c r="E552" s="5">
        <v>968653.18</v>
      </c>
      <c r="F552" s="145">
        <v>713627.68</v>
      </c>
      <c r="G552" s="167">
        <f t="shared" si="50"/>
        <v>1.2129865914938773</v>
      </c>
      <c r="H552" s="167">
        <f t="shared" si="51"/>
        <v>0.73672155807097028</v>
      </c>
      <c r="I552" s="144">
        <f>F552/F556</f>
        <v>2.3601390146540013E-2</v>
      </c>
      <c r="K552" s="516"/>
      <c r="L552" s="516"/>
      <c r="M552" s="516"/>
    </row>
    <row r="553" spans="1:18" s="17" customFormat="1" ht="16.5" customHeight="1" x14ac:dyDescent="0.2">
      <c r="A553" s="81">
        <v>200</v>
      </c>
      <c r="B553" s="716" t="s">
        <v>187</v>
      </c>
      <c r="C553" s="717"/>
      <c r="D553" s="145">
        <v>772864</v>
      </c>
      <c r="E553" s="5">
        <v>1130247.05</v>
      </c>
      <c r="F553" s="145">
        <v>1044518.19</v>
      </c>
      <c r="G553" s="167">
        <f t="shared" si="50"/>
        <v>1.3514902880713813</v>
      </c>
      <c r="H553" s="167">
        <f t="shared" si="51"/>
        <v>0.92415033509709221</v>
      </c>
      <c r="I553" s="144">
        <f>F553/F556</f>
        <v>3.4544738115186067E-2</v>
      </c>
      <c r="K553" s="516"/>
      <c r="L553" s="516"/>
      <c r="M553" s="516"/>
    </row>
    <row r="554" spans="1:18" s="17" customFormat="1" ht="16.5" customHeight="1" x14ac:dyDescent="0.2">
      <c r="A554" s="81">
        <v>300</v>
      </c>
      <c r="B554" s="716" t="s">
        <v>188</v>
      </c>
      <c r="C554" s="717"/>
      <c r="D554" s="145">
        <v>5854383.5199999996</v>
      </c>
      <c r="E554" s="5">
        <v>14534056.75</v>
      </c>
      <c r="F554" s="145">
        <v>8055759.9900000002</v>
      </c>
      <c r="G554" s="167">
        <f t="shared" si="50"/>
        <v>1.3760219094768156</v>
      </c>
      <c r="H554" s="167">
        <f t="shared" si="51"/>
        <v>0.55426782271233388</v>
      </c>
      <c r="I554" s="144">
        <f>F554/F556</f>
        <v>0.26642343028353005</v>
      </c>
      <c r="K554" s="516"/>
      <c r="L554" s="516"/>
      <c r="M554" s="516"/>
    </row>
    <row r="555" spans="1:18" s="17" customFormat="1" ht="16.5" customHeight="1" x14ac:dyDescent="0.2">
      <c r="A555" s="81">
        <v>38</v>
      </c>
      <c r="B555" s="507" t="s">
        <v>518</v>
      </c>
      <c r="C555" s="508"/>
      <c r="D555" s="145"/>
      <c r="E555" s="145">
        <v>0</v>
      </c>
      <c r="F555" s="145"/>
      <c r="G555" s="167"/>
      <c r="H555" s="167"/>
      <c r="I555" s="144"/>
      <c r="K555" s="516"/>
      <c r="L555" s="516"/>
      <c r="M555" s="516"/>
    </row>
    <row r="556" spans="1:18" s="17" customFormat="1" ht="18" customHeight="1" x14ac:dyDescent="0.2">
      <c r="A556" s="146"/>
      <c r="B556" s="718" t="s">
        <v>84</v>
      </c>
      <c r="C556" s="719"/>
      <c r="D556" s="386">
        <f>D550+D551+D552+D553+D554</f>
        <v>25252551.449999999</v>
      </c>
      <c r="E556" s="386">
        <f>E550+E551+E552+E553+E554+E555</f>
        <v>40180750.68</v>
      </c>
      <c r="F556" s="386">
        <f>F550+F551+F552+F553+F554</f>
        <v>30236679.939999998</v>
      </c>
      <c r="G556" s="169">
        <f t="shared" si="50"/>
        <v>1.1973712834470831</v>
      </c>
      <c r="H556" s="169">
        <f t="shared" si="51"/>
        <v>0.75251655153994745</v>
      </c>
      <c r="I556" s="137">
        <f>SUM(I550:I554)</f>
        <v>1.0000000000000002</v>
      </c>
      <c r="K556" s="516"/>
      <c r="L556" s="516"/>
      <c r="M556" s="516"/>
    </row>
    <row r="557" spans="1:18" s="17" customFormat="1" ht="16.5" customHeight="1" x14ac:dyDescent="0.2">
      <c r="A557" s="170"/>
      <c r="B557" s="542"/>
      <c r="C557" s="542"/>
      <c r="D557" s="171"/>
      <c r="E557" s="171"/>
      <c r="F557" s="171"/>
      <c r="G557" s="172"/>
      <c r="H557" s="172"/>
      <c r="I557" s="21"/>
      <c r="L557" s="516"/>
      <c r="N557" s="516"/>
      <c r="O557" s="516"/>
      <c r="P557" s="516"/>
      <c r="Q557" s="516"/>
      <c r="R557" s="516"/>
    </row>
    <row r="558" spans="1:18" s="17" customFormat="1" ht="16.5" customHeight="1" x14ac:dyDescent="0.2">
      <c r="A558" s="21"/>
      <c r="B558" s="15" t="s">
        <v>621</v>
      </c>
      <c r="C558" s="15"/>
      <c r="D558" s="15"/>
      <c r="E558" s="15"/>
      <c r="F558" s="15"/>
      <c r="G558" s="15"/>
      <c r="H558" s="15"/>
      <c r="I558" s="21"/>
      <c r="L558" s="516"/>
      <c r="N558" s="516"/>
      <c r="O558" s="516"/>
      <c r="P558" s="516"/>
      <c r="Q558" s="516"/>
      <c r="R558" s="516"/>
    </row>
    <row r="559" spans="1:18" s="17" customFormat="1" ht="16.5" customHeight="1" x14ac:dyDescent="0.2">
      <c r="A559" s="21"/>
      <c r="B559" s="15" t="s">
        <v>622</v>
      </c>
      <c r="C559" s="15"/>
      <c r="D559" s="15"/>
      <c r="E559" s="15"/>
      <c r="F559" s="15"/>
      <c r="G559" s="15"/>
      <c r="H559" s="15"/>
      <c r="I559" s="21"/>
      <c r="L559" s="322"/>
      <c r="N559" s="322"/>
      <c r="O559" s="322"/>
      <c r="P559" s="322"/>
      <c r="Q559" s="322"/>
    </row>
    <row r="560" spans="1:18" s="17" customFormat="1" ht="16.5" customHeight="1" x14ac:dyDescent="0.2">
      <c r="A560" s="714" t="s">
        <v>623</v>
      </c>
      <c r="B560" s="714"/>
      <c r="C560" s="714"/>
      <c r="D560" s="714"/>
      <c r="E560" s="714"/>
      <c r="F560" s="714"/>
      <c r="G560" s="714"/>
      <c r="H560" s="714"/>
      <c r="I560" s="714"/>
      <c r="L560" s="322"/>
      <c r="N560" s="322"/>
      <c r="O560" s="322"/>
      <c r="P560" s="322"/>
      <c r="Q560" s="322"/>
    </row>
    <row r="561" spans="1:17" s="17" customFormat="1" ht="16.5" customHeight="1" x14ac:dyDescent="0.2">
      <c r="A561" s="714" t="s">
        <v>624</v>
      </c>
      <c r="B561" s="714"/>
      <c r="C561" s="714"/>
      <c r="D561" s="714"/>
      <c r="E561" s="714"/>
      <c r="F561" s="714"/>
      <c r="G561" s="714"/>
      <c r="H561" s="714"/>
      <c r="I561" s="714"/>
      <c r="L561" s="322"/>
      <c r="N561" s="322"/>
      <c r="O561" s="322"/>
      <c r="P561" s="322"/>
      <c r="Q561" s="322"/>
    </row>
    <row r="562" spans="1:17" s="17" customFormat="1" ht="15.75" customHeight="1" x14ac:dyDescent="0.2">
      <c r="A562" s="714" t="s">
        <v>625</v>
      </c>
      <c r="B562" s="714"/>
      <c r="C562" s="714"/>
      <c r="D562" s="714"/>
      <c r="E562" s="714"/>
      <c r="F562" s="714"/>
      <c r="G562" s="714"/>
      <c r="H562" s="714"/>
      <c r="I562" s="714"/>
      <c r="L562" s="322"/>
      <c r="N562" s="322"/>
      <c r="O562" s="322"/>
      <c r="P562" s="322"/>
      <c r="Q562" s="322"/>
    </row>
    <row r="563" spans="1:17" s="17" customFormat="1" ht="16.5" customHeight="1" x14ac:dyDescent="0.2">
      <c r="A563" s="714" t="s">
        <v>626</v>
      </c>
      <c r="B563" s="714"/>
      <c r="C563" s="714"/>
      <c r="D563" s="714"/>
      <c r="E563" s="714"/>
      <c r="F563" s="714"/>
      <c r="G563" s="714"/>
      <c r="H563" s="714"/>
      <c r="I563" s="714"/>
      <c r="L563" s="322"/>
      <c r="N563" s="322"/>
      <c r="O563" s="322"/>
      <c r="P563" s="322"/>
      <c r="Q563" s="322"/>
    </row>
    <row r="564" spans="1:17" s="17" customFormat="1" ht="16.5" customHeight="1" x14ac:dyDescent="0.2">
      <c r="A564" s="714" t="s">
        <v>627</v>
      </c>
      <c r="B564" s="714"/>
      <c r="C564" s="714"/>
      <c r="D564" s="714"/>
      <c r="E564" s="714"/>
      <c r="F564" s="714"/>
      <c r="G564" s="714"/>
      <c r="H564" s="714"/>
      <c r="I564" s="714"/>
      <c r="L564" s="322"/>
      <c r="N564" s="322"/>
      <c r="O564" s="322"/>
      <c r="P564" s="322"/>
      <c r="Q564" s="322"/>
    </row>
    <row r="565" spans="1:17" s="17" customFormat="1" ht="16.5" customHeight="1" x14ac:dyDescent="0.2">
      <c r="A565" s="714" t="s">
        <v>628</v>
      </c>
      <c r="B565" s="714"/>
      <c r="C565" s="714"/>
      <c r="D565" s="714"/>
      <c r="E565" s="714"/>
      <c r="F565" s="714"/>
      <c r="G565" s="714"/>
      <c r="H565" s="714"/>
      <c r="I565" s="714"/>
      <c r="L565" s="322"/>
      <c r="N565" s="322"/>
      <c r="O565" s="322"/>
      <c r="P565" s="322"/>
      <c r="Q565" s="322"/>
    </row>
    <row r="566" spans="1:17" s="17" customFormat="1" ht="16.5" customHeight="1" x14ac:dyDescent="0.2">
      <c r="A566" s="714" t="s">
        <v>629</v>
      </c>
      <c r="B566" s="714"/>
      <c r="C566" s="714"/>
      <c r="D566" s="714"/>
      <c r="E566" s="714"/>
      <c r="F566" s="714"/>
      <c r="G566" s="714"/>
      <c r="H566" s="714"/>
      <c r="I566" s="714"/>
      <c r="L566" s="322"/>
      <c r="N566" s="322"/>
      <c r="O566" s="322"/>
      <c r="P566" s="322"/>
      <c r="Q566" s="322"/>
    </row>
    <row r="567" spans="1:17" s="17" customFormat="1" ht="16.5" customHeight="1" x14ac:dyDescent="0.2">
      <c r="A567" s="714" t="s">
        <v>630</v>
      </c>
      <c r="B567" s="714"/>
      <c r="C567" s="714"/>
      <c r="D567" s="714"/>
      <c r="E567" s="714"/>
      <c r="F567" s="714"/>
      <c r="G567" s="714"/>
      <c r="H567" s="714"/>
      <c r="I567" s="714"/>
      <c r="L567" s="322"/>
      <c r="N567" s="322"/>
      <c r="O567" s="322"/>
      <c r="P567" s="322"/>
      <c r="Q567" s="322"/>
    </row>
    <row r="568" spans="1:17" s="17" customFormat="1" ht="16.5" customHeight="1" x14ac:dyDescent="0.2">
      <c r="A568" s="714" t="s">
        <v>631</v>
      </c>
      <c r="B568" s="714"/>
      <c r="C568" s="714"/>
      <c r="D568" s="714"/>
      <c r="E568" s="714"/>
      <c r="F568" s="714"/>
      <c r="G568" s="714"/>
      <c r="H568" s="714"/>
      <c r="I568" s="714"/>
      <c r="L568" s="322"/>
      <c r="N568" s="322"/>
      <c r="O568" s="322"/>
      <c r="P568" s="322"/>
      <c r="Q568" s="322"/>
    </row>
    <row r="569" spans="1:17" s="17" customFormat="1" ht="16.5" customHeight="1" x14ac:dyDescent="0.2">
      <c r="A569" s="714" t="s">
        <v>545</v>
      </c>
      <c r="B569" s="714"/>
      <c r="C569" s="714"/>
      <c r="D569" s="714"/>
      <c r="E569" s="714"/>
      <c r="F569" s="714"/>
      <c r="G569" s="714"/>
      <c r="H569" s="714"/>
      <c r="I569" s="714"/>
      <c r="L569" s="322"/>
      <c r="N569" s="322"/>
      <c r="O569" s="322"/>
      <c r="P569" s="322"/>
      <c r="Q569" s="322"/>
    </row>
    <row r="570" spans="1:17" s="17" customFormat="1" ht="16.5" customHeight="1" x14ac:dyDescent="0.2">
      <c r="A570" s="714" t="s">
        <v>632</v>
      </c>
      <c r="B570" s="714"/>
      <c r="C570" s="714"/>
      <c r="D570" s="714"/>
      <c r="E570" s="714"/>
      <c r="F570" s="714"/>
      <c r="G570" s="714"/>
      <c r="H570" s="714"/>
      <c r="I570" s="714"/>
    </row>
    <row r="571" spans="1:17" s="17" customFormat="1" ht="16.5" customHeight="1" x14ac:dyDescent="0.2">
      <c r="A571" s="714" t="s">
        <v>633</v>
      </c>
      <c r="B571" s="714"/>
      <c r="C571" s="714"/>
      <c r="D571" s="714"/>
      <c r="E571" s="714"/>
      <c r="F571" s="714"/>
      <c r="G571" s="714"/>
      <c r="H571" s="714"/>
      <c r="I571" s="714"/>
    </row>
    <row r="572" spans="1:17" s="17" customFormat="1" ht="16.5" customHeight="1" x14ac:dyDescent="0.2">
      <c r="A572" s="523"/>
      <c r="B572" s="523"/>
      <c r="C572" s="523"/>
      <c r="D572" s="523"/>
      <c r="E572" s="523"/>
      <c r="F572" s="523"/>
      <c r="G572" s="523"/>
      <c r="H572" s="523"/>
      <c r="I572" s="523"/>
    </row>
    <row r="573" spans="1:17" s="17" customFormat="1" ht="16.5" customHeight="1" x14ac:dyDescent="0.2">
      <c r="A573" s="523"/>
      <c r="B573" s="523"/>
      <c r="C573" s="523"/>
      <c r="D573" s="523"/>
      <c r="E573" s="523"/>
      <c r="F573" s="523"/>
      <c r="G573" s="523"/>
      <c r="H573" s="523"/>
      <c r="I573" s="523"/>
    </row>
    <row r="574" spans="1:17" s="17" customFormat="1" ht="16.5" customHeight="1" x14ac:dyDescent="0.2">
      <c r="A574" s="523"/>
      <c r="B574" s="523"/>
      <c r="C574" s="523"/>
      <c r="D574" s="523"/>
      <c r="E574" s="523"/>
      <c r="F574" s="523"/>
      <c r="G574" s="523"/>
      <c r="H574" s="523"/>
      <c r="I574" s="523"/>
    </row>
    <row r="575" spans="1:17" s="17" customFormat="1" ht="16.5" customHeight="1" x14ac:dyDescent="0.2">
      <c r="A575" s="523"/>
      <c r="B575" s="523"/>
      <c r="C575" s="523"/>
      <c r="D575" s="523"/>
      <c r="E575" s="523"/>
      <c r="F575" s="523"/>
      <c r="G575" s="523"/>
      <c r="H575" s="523"/>
      <c r="I575" s="523"/>
    </row>
    <row r="576" spans="1:17" s="17" customFormat="1" ht="16.5" customHeight="1" x14ac:dyDescent="0.2">
      <c r="A576" s="523"/>
      <c r="B576" s="523"/>
      <c r="C576" s="523"/>
      <c r="D576" s="523"/>
      <c r="E576" s="523"/>
      <c r="F576" s="523"/>
      <c r="G576" s="523"/>
      <c r="H576" s="523"/>
      <c r="I576" s="523"/>
    </row>
    <row r="577" spans="1:9" s="17" customFormat="1" ht="16.5" customHeight="1" x14ac:dyDescent="0.2">
      <c r="A577" s="523"/>
      <c r="B577" s="523"/>
      <c r="C577" s="523"/>
      <c r="D577" s="523"/>
      <c r="E577" s="523"/>
      <c r="F577" s="523"/>
      <c r="G577" s="523"/>
      <c r="H577" s="523"/>
      <c r="I577" s="523"/>
    </row>
    <row r="578" spans="1:9" s="17" customFormat="1" ht="16.5" customHeight="1" x14ac:dyDescent="0.2">
      <c r="A578" s="523"/>
      <c r="B578" s="523"/>
      <c r="C578" s="523"/>
      <c r="D578" s="523"/>
      <c r="E578" s="523"/>
      <c r="F578" s="523"/>
      <c r="G578" s="523"/>
      <c r="H578" s="523"/>
      <c r="I578" s="523"/>
    </row>
    <row r="579" spans="1:9" s="17" customFormat="1" ht="16.5" customHeight="1" x14ac:dyDescent="0.2">
      <c r="A579" s="523"/>
      <c r="B579" s="523"/>
      <c r="C579" s="523"/>
      <c r="D579" s="523"/>
      <c r="E579" s="523"/>
      <c r="F579" s="523"/>
      <c r="G579" s="523"/>
      <c r="H579" s="523"/>
      <c r="I579" s="523"/>
    </row>
    <row r="580" spans="1:9" s="17" customFormat="1" ht="16.5" customHeight="1" x14ac:dyDescent="0.2">
      <c r="A580" s="523"/>
      <c r="B580" s="523"/>
      <c r="C580" s="523"/>
      <c r="D580" s="523"/>
      <c r="E580" s="523"/>
      <c r="F580" s="523"/>
      <c r="G580" s="523"/>
      <c r="H580" s="523"/>
      <c r="I580" s="523"/>
    </row>
    <row r="581" spans="1:9" s="17" customFormat="1" ht="16.5" customHeight="1" x14ac:dyDescent="0.2">
      <c r="A581" s="523"/>
      <c r="B581" s="523"/>
      <c r="C581" s="523"/>
      <c r="D581" s="523"/>
      <c r="E581" s="523"/>
      <c r="F581" s="523"/>
      <c r="G581" s="523"/>
      <c r="H581" s="523"/>
      <c r="I581" s="523"/>
    </row>
    <row r="582" spans="1:9" s="17" customFormat="1" ht="16.5" customHeight="1" x14ac:dyDescent="0.2">
      <c r="A582" s="523"/>
      <c r="B582" s="523"/>
      <c r="C582" s="523"/>
      <c r="D582" s="523"/>
      <c r="E582" s="523"/>
      <c r="F582" s="523"/>
      <c r="G582" s="523"/>
      <c r="H582" s="523"/>
      <c r="I582" s="523"/>
    </row>
    <row r="583" spans="1:9" s="17" customFormat="1" ht="16.5" customHeight="1" x14ac:dyDescent="0.2">
      <c r="A583" s="523"/>
      <c r="B583" s="523"/>
      <c r="C583" s="523"/>
      <c r="D583" s="523"/>
      <c r="E583" s="523"/>
      <c r="F583" s="523"/>
      <c r="G583" s="523"/>
      <c r="H583" s="523"/>
      <c r="I583" s="523"/>
    </row>
    <row r="584" spans="1:9" s="17" customFormat="1" ht="16.5" customHeight="1" x14ac:dyDescent="0.2">
      <c r="A584" s="523"/>
      <c r="B584" s="523"/>
      <c r="C584" s="523"/>
      <c r="D584" s="523"/>
      <c r="E584" s="523"/>
      <c r="F584" s="523"/>
      <c r="G584" s="523"/>
      <c r="H584" s="523"/>
      <c r="I584" s="523"/>
    </row>
    <row r="585" spans="1:9" s="17" customFormat="1" ht="16.5" customHeight="1" x14ac:dyDescent="0.2">
      <c r="A585" s="523"/>
      <c r="B585" s="523"/>
      <c r="C585" s="523"/>
      <c r="D585" s="523"/>
      <c r="E585" s="523"/>
      <c r="F585" s="523"/>
      <c r="G585" s="523"/>
      <c r="H585" s="523"/>
      <c r="I585" s="523"/>
    </row>
    <row r="586" spans="1:9" s="17" customFormat="1" ht="16.5" customHeight="1" x14ac:dyDescent="0.2">
      <c r="A586" s="523"/>
      <c r="B586" s="523"/>
      <c r="C586" s="523"/>
      <c r="D586" s="523"/>
      <c r="E586" s="523"/>
      <c r="F586" s="523"/>
      <c r="G586" s="523"/>
      <c r="H586" s="523"/>
      <c r="I586" s="523"/>
    </row>
    <row r="587" spans="1:9" s="17" customFormat="1" ht="16.5" customHeight="1" x14ac:dyDescent="0.2">
      <c r="A587" s="660"/>
      <c r="B587" s="660"/>
      <c r="C587" s="660"/>
      <c r="D587" s="660"/>
      <c r="E587" s="660"/>
      <c r="F587" s="660"/>
      <c r="G587" s="660"/>
      <c r="H587" s="660"/>
      <c r="I587" s="660"/>
    </row>
    <row r="588" spans="1:9" s="17" customFormat="1" ht="16.5" customHeight="1" x14ac:dyDescent="0.2">
      <c r="A588" s="660"/>
      <c r="B588" s="660"/>
      <c r="C588" s="660"/>
      <c r="D588" s="660"/>
      <c r="E588" s="660"/>
      <c r="F588" s="660"/>
      <c r="G588" s="660"/>
      <c r="H588" s="660"/>
      <c r="I588" s="660"/>
    </row>
    <row r="589" spans="1:9" s="17" customFormat="1" ht="16.5" customHeight="1" x14ac:dyDescent="0.2">
      <c r="A589" s="660"/>
      <c r="B589" s="660"/>
      <c r="C589" s="660"/>
      <c r="D589" s="660"/>
      <c r="E589" s="660"/>
      <c r="F589" s="660"/>
      <c r="G589" s="660"/>
      <c r="H589" s="660"/>
      <c r="I589" s="660"/>
    </row>
    <row r="590" spans="1:9" s="17" customFormat="1" ht="16.5" customHeight="1" x14ac:dyDescent="0.2">
      <c r="A590" s="523"/>
      <c r="B590" s="523"/>
      <c r="C590" s="523"/>
      <c r="D590" s="523"/>
      <c r="E590" s="523"/>
      <c r="F590" s="523"/>
      <c r="G590" s="523"/>
      <c r="H590" s="523"/>
      <c r="I590" s="523"/>
    </row>
    <row r="591" spans="1:9" s="17" customFormat="1" ht="16.5" customHeight="1" x14ac:dyDescent="0.2">
      <c r="A591" s="523"/>
      <c r="B591" s="523"/>
      <c r="C591" s="523"/>
      <c r="D591" s="523"/>
      <c r="E591" s="523"/>
      <c r="F591" s="523"/>
      <c r="G591" s="523"/>
      <c r="H591" s="523"/>
      <c r="I591" s="409">
        <v>9</v>
      </c>
    </row>
    <row r="592" spans="1:9" s="17" customFormat="1" ht="16.5" customHeight="1" x14ac:dyDescent="0.2">
      <c r="A592" s="523"/>
      <c r="B592" s="523"/>
      <c r="C592" s="523"/>
      <c r="D592" s="523"/>
      <c r="E592" s="523"/>
      <c r="F592" s="523"/>
      <c r="G592" s="523"/>
      <c r="H592" s="523"/>
      <c r="I592" s="523"/>
    </row>
    <row r="593" spans="1:9" s="17" customFormat="1" ht="16.5" customHeight="1" x14ac:dyDescent="0.2">
      <c r="A593" s="523"/>
      <c r="B593" s="523"/>
      <c r="C593" s="523"/>
      <c r="D593" s="523"/>
      <c r="E593" s="523"/>
      <c r="F593" s="523"/>
      <c r="G593" s="523"/>
      <c r="H593" s="523"/>
      <c r="I593" s="523"/>
    </row>
    <row r="594" spans="1:9" s="17" customFormat="1" ht="16.5" customHeight="1" x14ac:dyDescent="0.2">
      <c r="A594" s="523"/>
      <c r="B594" s="523"/>
      <c r="C594" s="523"/>
      <c r="D594" s="523"/>
      <c r="E594" s="523"/>
      <c r="F594" s="523"/>
      <c r="G594" s="523"/>
      <c r="H594" s="523"/>
      <c r="I594" s="523"/>
    </row>
    <row r="595" spans="1:9" s="17" customFormat="1" ht="16.5" customHeight="1" x14ac:dyDescent="0.2">
      <c r="A595" s="523"/>
      <c r="B595" s="523"/>
      <c r="C595" s="523"/>
      <c r="D595" s="523"/>
      <c r="E595" s="523"/>
      <c r="F595" s="523"/>
      <c r="G595" s="523"/>
      <c r="H595" s="523"/>
      <c r="I595" s="192"/>
    </row>
    <row r="596" spans="1:9" s="17" customFormat="1" ht="16.5" customHeight="1" x14ac:dyDescent="0.2">
      <c r="A596" s="523"/>
      <c r="B596" s="523"/>
      <c r="C596" s="523"/>
      <c r="D596" s="523"/>
      <c r="E596" s="523"/>
      <c r="F596" s="523"/>
      <c r="G596" s="523"/>
      <c r="H596" s="523"/>
      <c r="I596" s="523"/>
    </row>
    <row r="597" spans="1:9" s="17" customFormat="1" ht="16.5" customHeight="1" x14ac:dyDescent="0.2">
      <c r="A597" s="537"/>
      <c r="B597" s="829" t="s">
        <v>189</v>
      </c>
      <c r="C597" s="829"/>
      <c r="D597" s="829"/>
      <c r="E597" s="537"/>
      <c r="F597" s="537" t="s">
        <v>190</v>
      </c>
      <c r="G597" s="537"/>
      <c r="H597" s="541"/>
      <c r="I597" s="15"/>
    </row>
    <row r="598" spans="1:9" s="17" customFormat="1" ht="16.5" customHeight="1" x14ac:dyDescent="0.2">
      <c r="A598" s="537"/>
      <c r="B598" s="173"/>
      <c r="C598" s="173"/>
      <c r="D598" s="173"/>
      <c r="E598" s="537"/>
      <c r="F598" s="537"/>
      <c r="G598" s="537"/>
      <c r="H598" s="541"/>
      <c r="I598" s="15"/>
    </row>
    <row r="599" spans="1:9" s="17" customFormat="1" ht="16.5" customHeight="1" x14ac:dyDescent="0.2">
      <c r="A599" s="714" t="s">
        <v>634</v>
      </c>
      <c r="B599" s="714"/>
      <c r="C599" s="714"/>
      <c r="D599" s="714"/>
      <c r="E599" s="714"/>
      <c r="F599" s="714"/>
      <c r="G599" s="714"/>
      <c r="H599" s="714"/>
      <c r="I599" s="714"/>
    </row>
    <row r="600" spans="1:9" s="17" customFormat="1" ht="16.5" customHeight="1" x14ac:dyDescent="0.2">
      <c r="A600" s="714" t="s">
        <v>635</v>
      </c>
      <c r="B600" s="714"/>
      <c r="C600" s="714"/>
      <c r="D600" s="714"/>
      <c r="E600" s="714"/>
      <c r="F600" s="714"/>
      <c r="G600" s="714"/>
      <c r="H600" s="714"/>
      <c r="I600" s="714"/>
    </row>
    <row r="601" spans="1:9" s="17" customFormat="1" ht="16.5" customHeight="1" x14ac:dyDescent="0.2">
      <c r="A601" s="523"/>
      <c r="B601" s="523"/>
      <c r="C601" s="523"/>
      <c r="D601" s="523"/>
      <c r="E601" s="523"/>
      <c r="F601" s="523"/>
      <c r="G601" s="523"/>
      <c r="H601" s="523"/>
      <c r="I601" s="523"/>
    </row>
    <row r="602" spans="1:9" s="17" customFormat="1" ht="16.5" customHeight="1" x14ac:dyDescent="0.2">
      <c r="A602" s="537"/>
      <c r="B602" s="537"/>
      <c r="C602" s="537"/>
      <c r="D602" s="701" t="s">
        <v>85</v>
      </c>
      <c r="E602" s="701"/>
      <c r="F602" s="701"/>
      <c r="G602" s="537"/>
      <c r="H602" s="537"/>
      <c r="I602" s="15"/>
    </row>
    <row r="603" spans="1:9" s="17" customFormat="1" ht="16.5" customHeight="1" x14ac:dyDescent="0.2">
      <c r="A603" s="537"/>
      <c r="B603" s="537"/>
      <c r="C603" s="537"/>
      <c r="D603" s="526"/>
      <c r="E603" s="526"/>
      <c r="F603" s="526"/>
      <c r="G603" s="537"/>
      <c r="H603" s="537"/>
      <c r="I603" s="15"/>
    </row>
    <row r="604" spans="1:9" s="17" customFormat="1" ht="16.5" customHeight="1" x14ac:dyDescent="0.2">
      <c r="A604" s="809" t="s">
        <v>150</v>
      </c>
      <c r="B604" s="702" t="s">
        <v>151</v>
      </c>
      <c r="C604" s="703"/>
      <c r="D604" s="380" t="s">
        <v>86</v>
      </c>
      <c r="E604" s="530" t="s">
        <v>152</v>
      </c>
      <c r="F604" s="40" t="s">
        <v>87</v>
      </c>
      <c r="G604" s="706" t="s">
        <v>52</v>
      </c>
      <c r="H604" s="707"/>
      <c r="I604" s="708" t="s">
        <v>53</v>
      </c>
    </row>
    <row r="605" spans="1:9" s="17" customFormat="1" ht="16.5" customHeight="1" x14ac:dyDescent="0.2">
      <c r="A605" s="810"/>
      <c r="B605" s="704"/>
      <c r="C605" s="705"/>
      <c r="D605" s="381" t="s">
        <v>541</v>
      </c>
      <c r="E605" s="41" t="s">
        <v>573</v>
      </c>
      <c r="F605" s="41" t="s">
        <v>607</v>
      </c>
      <c r="G605" s="24" t="s">
        <v>55</v>
      </c>
      <c r="H605" s="24" t="s">
        <v>56</v>
      </c>
      <c r="I605" s="709"/>
    </row>
    <row r="606" spans="1:9" s="17" customFormat="1" ht="16.5" customHeight="1" x14ac:dyDescent="0.2">
      <c r="A606" s="131">
        <v>1</v>
      </c>
      <c r="B606" s="710">
        <v>2</v>
      </c>
      <c r="C606" s="711"/>
      <c r="D606" s="129">
        <v>3</v>
      </c>
      <c r="E606" s="129">
        <v>4</v>
      </c>
      <c r="F606" s="129">
        <v>5</v>
      </c>
      <c r="G606" s="129">
        <v>6</v>
      </c>
      <c r="H606" s="129">
        <v>7</v>
      </c>
      <c r="I606" s="142">
        <v>8</v>
      </c>
    </row>
    <row r="607" spans="1:9" s="17" customFormat="1" ht="16.5" customHeight="1" x14ac:dyDescent="0.2">
      <c r="A607" s="81">
        <v>10</v>
      </c>
      <c r="B607" s="716" t="s">
        <v>162</v>
      </c>
      <c r="C607" s="717"/>
      <c r="D607" s="145">
        <f>110190.21+250039.04+5795.14+154326.26+17419.1+192516.47+182660.61+61095.1+202557.92+49804.84+105092.83+39174.78+96201.22+29238.7+84114.91+24506.29+2202756.26+95679.65+180984.92+109887.28+71755.75+353030.13+6928298.93+3251157.28</f>
        <v>14798283.619999999</v>
      </c>
      <c r="E607" s="452">
        <f>213113.14+403350.19+6537.3+8256.4+258957.18+29709.58+229856.86+252496.82+128580.3+355851.54+52784.97+160415.44+56818.58+142200.13+49502.83+116717.96+33064.41+3413103.42+160209.3+52505.25+267250.94+173112.99+123675.15+572833+7808781.93+3112656.06</f>
        <v>18182341.670000002</v>
      </c>
      <c r="F607" s="145">
        <f>144580.2+288675.68+1693.28+9879.45+166800.83+20466.49+171069.73+176135.36+93546.55+260346.62+35083.27+110166.96+42492.48+100091.76+32709.52+82514.86+24724.73+2485252.21+101842.11+177193.42+113287.8+80782.26+364904.54+8939022.53+2592426.11</f>
        <v>16615688.75</v>
      </c>
      <c r="G607" s="143">
        <f t="shared" ref="G607:G613" si="52">F607/D607</f>
        <v>1.1228118866125638</v>
      </c>
      <c r="H607" s="143">
        <f>F607/E607</f>
        <v>0.91383657020454612</v>
      </c>
      <c r="I607" s="144">
        <f>F607/F613</f>
        <v>0.99791017503282575</v>
      </c>
    </row>
    <row r="608" spans="1:9" s="17" customFormat="1" ht="16.5" customHeight="1" x14ac:dyDescent="0.2">
      <c r="A608" s="81">
        <v>21</v>
      </c>
      <c r="B608" s="716" t="s">
        <v>97</v>
      </c>
      <c r="C608" s="717"/>
      <c r="D608" s="5">
        <f>42621+40961.7</f>
        <v>83582.7</v>
      </c>
      <c r="E608" s="452">
        <f>50400+34913.19</f>
        <v>85313.19</v>
      </c>
      <c r="F608" s="5">
        <v>0</v>
      </c>
      <c r="G608" s="143">
        <f t="shared" si="52"/>
        <v>0</v>
      </c>
      <c r="H608" s="143">
        <f>F608/E608</f>
        <v>0</v>
      </c>
      <c r="I608" s="144">
        <f>F608/F613</f>
        <v>0</v>
      </c>
    </row>
    <row r="609" spans="1:11" s="17" customFormat="1" ht="16.5" customHeight="1" x14ac:dyDescent="0.2">
      <c r="A609" s="81">
        <v>22</v>
      </c>
      <c r="B609" s="716" t="s">
        <v>163</v>
      </c>
      <c r="C609" s="717"/>
      <c r="D609" s="5">
        <f>39276.53+17385.5</f>
        <v>56662.03</v>
      </c>
      <c r="E609" s="452">
        <v>0</v>
      </c>
      <c r="F609" s="5">
        <v>0</v>
      </c>
      <c r="G609" s="143">
        <f t="shared" si="52"/>
        <v>0</v>
      </c>
      <c r="H609" s="143" t="e">
        <f>F609/E609</f>
        <v>#DIV/0!</v>
      </c>
      <c r="I609" s="144">
        <f>F609/F613</f>
        <v>0</v>
      </c>
    </row>
    <row r="610" spans="1:11" s="17" customFormat="1" ht="16.5" customHeight="1" x14ac:dyDescent="0.2">
      <c r="A610" s="81">
        <v>31</v>
      </c>
      <c r="B610" s="716" t="s">
        <v>191</v>
      </c>
      <c r="C610" s="717"/>
      <c r="D610" s="5">
        <v>0</v>
      </c>
      <c r="E610" s="452">
        <v>0</v>
      </c>
      <c r="F610" s="5">
        <v>0</v>
      </c>
      <c r="G610" s="143" t="e">
        <f t="shared" si="52"/>
        <v>#DIV/0!</v>
      </c>
      <c r="H610" s="143" t="e">
        <f>F610/E610</f>
        <v>#DIV/0!</v>
      </c>
      <c r="I610" s="144">
        <f>F610/F613</f>
        <v>0</v>
      </c>
    </row>
    <row r="611" spans="1:11" s="17" customFormat="1" ht="16.5" customHeight="1" x14ac:dyDescent="0.2">
      <c r="A611" s="81" t="s">
        <v>158</v>
      </c>
      <c r="B611" s="716" t="s">
        <v>140</v>
      </c>
      <c r="C611" s="717"/>
      <c r="D611" s="5">
        <f>7400.3+15283.08</f>
        <v>22683.38</v>
      </c>
      <c r="E611" s="452">
        <f>2589.72+9171.37+31117.71+897</f>
        <v>43775.8</v>
      </c>
      <c r="F611" s="5">
        <f>8534.45+26262.15</f>
        <v>34796.600000000006</v>
      </c>
      <c r="G611" s="143">
        <f t="shared" si="52"/>
        <v>1.5340130086433328</v>
      </c>
      <c r="H611" s="143">
        <f>F611/E611</f>
        <v>0.79488210381078139</v>
      </c>
      <c r="I611" s="144">
        <f>F611/F613</f>
        <v>2.0898249671743056E-3</v>
      </c>
    </row>
    <row r="612" spans="1:11" s="17" customFormat="1" ht="16.5" customHeight="1" x14ac:dyDescent="0.2">
      <c r="A612" s="81">
        <v>4</v>
      </c>
      <c r="B612" s="716" t="s">
        <v>160</v>
      </c>
      <c r="C612" s="717"/>
      <c r="D612" s="5">
        <v>0</v>
      </c>
      <c r="E612" s="5">
        <v>0</v>
      </c>
      <c r="F612" s="5">
        <v>0</v>
      </c>
      <c r="G612" s="143" t="e">
        <f t="shared" si="52"/>
        <v>#DIV/0!</v>
      </c>
      <c r="H612" s="143"/>
      <c r="I612" s="144"/>
    </row>
    <row r="613" spans="1:11" s="17" customFormat="1" ht="18" customHeight="1" x14ac:dyDescent="0.2">
      <c r="A613" s="146"/>
      <c r="B613" s="718" t="s">
        <v>192</v>
      </c>
      <c r="C613" s="719"/>
      <c r="D613" s="383">
        <f>D607+D608+D609+D610+D611</f>
        <v>14961211.729999999</v>
      </c>
      <c r="E613" s="383">
        <f t="shared" ref="E613" si="53">E607+E608+E609+E611</f>
        <v>18311430.660000004</v>
      </c>
      <c r="F613" s="383">
        <f>F607+F608+F609+F611+D614</f>
        <v>16650485.35</v>
      </c>
      <c r="G613" s="174">
        <f t="shared" si="52"/>
        <v>1.1129102141247487</v>
      </c>
      <c r="H613" s="174">
        <f>F613/E613</f>
        <v>0.90929461816283863</v>
      </c>
      <c r="I613" s="137">
        <f>SUM(I607:I611)</f>
        <v>1</v>
      </c>
    </row>
    <row r="614" spans="1:11" s="17" customFormat="1" ht="16.5" customHeight="1" x14ac:dyDescent="0.2">
      <c r="A614" s="21"/>
      <c r="B614" s="21"/>
      <c r="C614" s="21"/>
      <c r="D614" s="21"/>
      <c r="E614" s="21"/>
      <c r="F614" s="21"/>
      <c r="G614" s="21"/>
      <c r="H614" s="21"/>
      <c r="I614" s="21"/>
    </row>
    <row r="615" spans="1:11" s="17" customFormat="1" ht="16.5" customHeight="1" x14ac:dyDescent="0.2">
      <c r="A615" s="537" t="s">
        <v>636</v>
      </c>
      <c r="B615" s="537"/>
      <c r="C615" s="537"/>
      <c r="D615" s="537"/>
      <c r="E615" s="537"/>
      <c r="F615" s="537"/>
      <c r="G615" s="537"/>
      <c r="H615" s="537"/>
      <c r="I615" s="537"/>
    </row>
    <row r="616" spans="1:11" s="17" customFormat="1" ht="16.5" customHeight="1" x14ac:dyDescent="0.2">
      <c r="A616" s="714" t="s">
        <v>637</v>
      </c>
      <c r="B616" s="714"/>
      <c r="C616" s="714"/>
      <c r="D616" s="714"/>
      <c r="E616" s="714"/>
      <c r="F616" s="714"/>
      <c r="G616" s="714"/>
      <c r="H616" s="714"/>
      <c r="I616" s="714"/>
    </row>
    <row r="617" spans="1:11" s="17" customFormat="1" ht="16.5" customHeight="1" x14ac:dyDescent="0.2">
      <c r="A617" s="537" t="s">
        <v>639</v>
      </c>
      <c r="B617" s="537"/>
      <c r="C617" s="537"/>
      <c r="D617" s="537"/>
      <c r="E617" s="537"/>
      <c r="F617" s="537"/>
      <c r="G617" s="537"/>
      <c r="H617" s="537"/>
      <c r="I617" s="537"/>
    </row>
    <row r="618" spans="1:11" s="17" customFormat="1" ht="16.5" customHeight="1" x14ac:dyDescent="0.2">
      <c r="A618" s="523" t="s">
        <v>638</v>
      </c>
      <c r="B618" s="523"/>
      <c r="C618" s="523"/>
      <c r="D618" s="523"/>
      <c r="E618" s="523"/>
      <c r="F618" s="523"/>
      <c r="G618" s="523"/>
      <c r="H618" s="523"/>
      <c r="I618" s="39"/>
    </row>
    <row r="619" spans="1:11" s="17" customFormat="1" ht="16.5" customHeight="1" x14ac:dyDescent="0.2">
      <c r="A619" s="537"/>
      <c r="B619" s="164"/>
      <c r="C619" s="15"/>
      <c r="D619" s="21"/>
      <c r="E619" s="21"/>
      <c r="F619" s="21"/>
      <c r="G619" s="537"/>
      <c r="H619" s="537"/>
    </row>
    <row r="620" spans="1:11" s="17" customFormat="1" ht="16.5" customHeight="1" x14ac:dyDescent="0.2">
      <c r="A620" s="537"/>
      <c r="B620" s="164"/>
      <c r="C620" s="15"/>
      <c r="D620" s="828" t="s">
        <v>85</v>
      </c>
      <c r="E620" s="828"/>
      <c r="F620" s="828"/>
      <c r="G620" s="537"/>
      <c r="H620" s="537"/>
      <c r="I620" s="15"/>
      <c r="K620" s="432"/>
    </row>
    <row r="621" spans="1:11" s="17" customFormat="1" ht="16.5" customHeight="1" x14ac:dyDescent="0.2">
      <c r="A621" s="537"/>
      <c r="B621" s="164"/>
      <c r="C621" s="15"/>
      <c r="D621" s="570"/>
      <c r="E621" s="570"/>
      <c r="F621" s="570"/>
      <c r="G621" s="537"/>
      <c r="H621" s="537"/>
    </row>
    <row r="622" spans="1:11" s="17" customFormat="1" ht="16.5" customHeight="1" x14ac:dyDescent="0.2">
      <c r="A622" s="557" t="s">
        <v>48</v>
      </c>
      <c r="B622" s="702" t="s">
        <v>151</v>
      </c>
      <c r="C622" s="703"/>
      <c r="D622" s="380" t="s">
        <v>86</v>
      </c>
      <c r="E622" s="530" t="s">
        <v>152</v>
      </c>
      <c r="F622" s="40" t="s">
        <v>87</v>
      </c>
      <c r="G622" s="706" t="s">
        <v>52</v>
      </c>
      <c r="H622" s="707"/>
      <c r="I622" s="708" t="s">
        <v>53</v>
      </c>
    </row>
    <row r="623" spans="1:11" s="17" customFormat="1" ht="16.5" customHeight="1" x14ac:dyDescent="0.2">
      <c r="A623" s="574" t="s">
        <v>88</v>
      </c>
      <c r="B623" s="704"/>
      <c r="C623" s="705"/>
      <c r="D623" s="381" t="s">
        <v>541</v>
      </c>
      <c r="E623" s="41" t="s">
        <v>573</v>
      </c>
      <c r="F623" s="41" t="s">
        <v>607</v>
      </c>
      <c r="G623" s="175" t="s">
        <v>55</v>
      </c>
      <c r="H623" s="24" t="s">
        <v>56</v>
      </c>
      <c r="I623" s="709"/>
    </row>
    <row r="624" spans="1:11" s="17" customFormat="1" ht="16.5" customHeight="1" x14ac:dyDescent="0.2">
      <c r="A624" s="132">
        <v>1</v>
      </c>
      <c r="B624" s="710">
        <v>2</v>
      </c>
      <c r="C624" s="711"/>
      <c r="D624" s="131">
        <v>3</v>
      </c>
      <c r="E624" s="176">
        <v>4</v>
      </c>
      <c r="F624" s="131">
        <v>5</v>
      </c>
      <c r="G624" s="131">
        <v>6</v>
      </c>
      <c r="H624" s="130">
        <v>7</v>
      </c>
      <c r="I624" s="132">
        <v>8</v>
      </c>
    </row>
    <row r="625" spans="1:9" s="17" customFormat="1" ht="16.5" customHeight="1" x14ac:dyDescent="0.2">
      <c r="A625" s="106">
        <v>11111</v>
      </c>
      <c r="B625" s="799" t="s">
        <v>640</v>
      </c>
      <c r="C625" s="800"/>
      <c r="D625" s="5">
        <v>10397289.34</v>
      </c>
      <c r="E625" s="489"/>
      <c r="F625" s="5">
        <v>10371014.51</v>
      </c>
      <c r="G625" s="143">
        <f t="shared" ref="G625:G640" si="54">F625/D625</f>
        <v>0.99747291537815375</v>
      </c>
      <c r="H625" s="143" t="e">
        <f t="shared" ref="H625:H640" si="55">F625/E625</f>
        <v>#DIV/0!</v>
      </c>
      <c r="I625" s="144">
        <f>F625/F640</f>
        <v>0.62286559772865724</v>
      </c>
    </row>
    <row r="626" spans="1:9" s="17" customFormat="1" ht="16.5" customHeight="1" x14ac:dyDescent="0.2">
      <c r="A626" s="106">
        <v>11151</v>
      </c>
      <c r="B626" s="799" t="s">
        <v>193</v>
      </c>
      <c r="C626" s="800"/>
      <c r="D626" s="5">
        <v>35526.300000000003</v>
      </c>
      <c r="E626" s="177"/>
      <c r="F626" s="5">
        <v>38680.93</v>
      </c>
      <c r="G626" s="143">
        <f t="shared" si="54"/>
        <v>1.0887970320579401</v>
      </c>
      <c r="H626" s="143" t="e">
        <f t="shared" si="55"/>
        <v>#DIV/0!</v>
      </c>
      <c r="I626" s="144">
        <f>F626/F640</f>
        <v>2.3231112599369367E-3</v>
      </c>
    </row>
    <row r="627" spans="1:9" s="17" customFormat="1" ht="16.5" customHeight="1" x14ac:dyDescent="0.2">
      <c r="A627" s="106">
        <v>11125</v>
      </c>
      <c r="B627" s="826" t="s">
        <v>444</v>
      </c>
      <c r="C627" s="827"/>
      <c r="D627" s="5">
        <v>4382.72</v>
      </c>
      <c r="E627" s="177"/>
      <c r="F627" s="5">
        <v>0</v>
      </c>
      <c r="G627" s="143">
        <f t="shared" si="54"/>
        <v>0</v>
      </c>
      <c r="H627" s="143" t="e">
        <f t="shared" si="55"/>
        <v>#DIV/0!</v>
      </c>
      <c r="I627" s="144">
        <f>F627/F640</f>
        <v>0</v>
      </c>
    </row>
    <row r="628" spans="1:9" s="17" customFormat="1" ht="16.5" customHeight="1" x14ac:dyDescent="0.2">
      <c r="A628" s="106">
        <v>11152</v>
      </c>
      <c r="B628" s="826" t="s">
        <v>194</v>
      </c>
      <c r="C628" s="827"/>
      <c r="D628" s="5">
        <v>5200</v>
      </c>
      <c r="E628" s="177"/>
      <c r="F628" s="5">
        <v>12323.4</v>
      </c>
      <c r="G628" s="143">
        <f t="shared" si="54"/>
        <v>2.3698846153846151</v>
      </c>
      <c r="H628" s="143" t="e">
        <f t="shared" si="55"/>
        <v>#DIV/0!</v>
      </c>
      <c r="I628" s="144">
        <f>F628/F640</f>
        <v>7.4012256946011498E-4</v>
      </c>
    </row>
    <row r="629" spans="1:9" s="17" customFormat="1" ht="16.5" customHeight="1" x14ac:dyDescent="0.2">
      <c r="A629" s="106">
        <v>11400</v>
      </c>
      <c r="B629" s="799" t="s">
        <v>445</v>
      </c>
      <c r="C629" s="800"/>
      <c r="D629" s="5">
        <v>19342.64</v>
      </c>
      <c r="E629" s="177"/>
      <c r="F629" s="5">
        <v>0</v>
      </c>
      <c r="G629" s="143">
        <f t="shared" si="54"/>
        <v>0</v>
      </c>
      <c r="H629" s="143" t="e">
        <f t="shared" si="55"/>
        <v>#DIV/0!</v>
      </c>
      <c r="I629" s="144">
        <f>F629/F640</f>
        <v>0</v>
      </c>
    </row>
    <row r="630" spans="1:9" s="17" customFormat="1" ht="16.5" customHeight="1" x14ac:dyDescent="0.2">
      <c r="A630" s="106">
        <v>11211</v>
      </c>
      <c r="B630" s="650" t="s">
        <v>641</v>
      </c>
      <c r="C630" s="651"/>
      <c r="D630" s="5">
        <v>0</v>
      </c>
      <c r="E630" s="177"/>
      <c r="F630" s="5">
        <v>573729.04</v>
      </c>
      <c r="G630" s="143" t="e">
        <f t="shared" si="54"/>
        <v>#DIV/0!</v>
      </c>
      <c r="H630" s="143" t="e">
        <f t="shared" si="55"/>
        <v>#DIV/0!</v>
      </c>
      <c r="I630" s="144">
        <f>F630/F640</f>
        <v>3.4457196168158552E-2</v>
      </c>
    </row>
    <row r="631" spans="1:9" s="17" customFormat="1" ht="16.5" customHeight="1" x14ac:dyDescent="0.2">
      <c r="A631" s="106">
        <v>11121</v>
      </c>
      <c r="B631" s="799" t="s">
        <v>405</v>
      </c>
      <c r="C631" s="800"/>
      <c r="D631" s="5">
        <v>699561.91</v>
      </c>
      <c r="E631" s="177"/>
      <c r="F631" s="5">
        <v>751658.08</v>
      </c>
      <c r="G631" s="143">
        <f t="shared" si="54"/>
        <v>1.0744697063337825</v>
      </c>
      <c r="H631" s="143" t="e">
        <f t="shared" si="55"/>
        <v>#DIV/0!</v>
      </c>
      <c r="I631" s="144">
        <f>F631/F640</f>
        <v>4.514331349506278E-2</v>
      </c>
    </row>
    <row r="632" spans="1:9" s="17" customFormat="1" ht="16.5" customHeight="1" x14ac:dyDescent="0.2">
      <c r="A632" s="106">
        <v>11131</v>
      </c>
      <c r="B632" s="799" t="s">
        <v>195</v>
      </c>
      <c r="C632" s="800"/>
      <c r="D632" s="5">
        <v>586272.28</v>
      </c>
      <c r="E632" s="177"/>
      <c r="F632" s="5">
        <v>630561.12</v>
      </c>
      <c r="G632" s="143">
        <f t="shared" si="54"/>
        <v>1.0755431247747207</v>
      </c>
      <c r="H632" s="143" t="e">
        <f t="shared" si="55"/>
        <v>#DIV/0!</v>
      </c>
      <c r="I632" s="144">
        <f>F632/F640</f>
        <v>3.7870434809877784E-2</v>
      </c>
    </row>
    <row r="633" spans="1:9" s="17" customFormat="1" ht="16.5" customHeight="1" x14ac:dyDescent="0.2">
      <c r="A633" s="106">
        <v>11311</v>
      </c>
      <c r="B633" s="799" t="s">
        <v>196</v>
      </c>
      <c r="C633" s="800"/>
      <c r="D633" s="5">
        <v>586272.28</v>
      </c>
      <c r="E633" s="177"/>
      <c r="F633" s="5">
        <v>630561.12</v>
      </c>
      <c r="G633" s="143">
        <f t="shared" si="54"/>
        <v>1.0755431247747207</v>
      </c>
      <c r="H633" s="143" t="e">
        <f t="shared" si="55"/>
        <v>#DIV/0!</v>
      </c>
      <c r="I633" s="144">
        <f>F633/F640</f>
        <v>3.7870434809877784E-2</v>
      </c>
    </row>
    <row r="634" spans="1:9" s="17" customFormat="1" ht="16.5" customHeight="1" x14ac:dyDescent="0.2">
      <c r="A634" s="106">
        <v>11411</v>
      </c>
      <c r="B634" s="650" t="s">
        <v>642</v>
      </c>
      <c r="C634" s="651"/>
      <c r="D634" s="5">
        <v>0</v>
      </c>
      <c r="E634" s="177"/>
      <c r="F634" s="5">
        <v>34779.17</v>
      </c>
      <c r="G634" s="143" t="e">
        <f t="shared" si="54"/>
        <v>#DIV/0!</v>
      </c>
      <c r="H634" s="143" t="e">
        <f t="shared" si="55"/>
        <v>#DIV/0!</v>
      </c>
      <c r="I634" s="144">
        <f>F634/F640</f>
        <v>2.0887781508423116E-3</v>
      </c>
    </row>
    <row r="635" spans="1:9" s="17" customFormat="1" ht="16.5" customHeight="1" x14ac:dyDescent="0.2">
      <c r="A635" s="106">
        <v>11416</v>
      </c>
      <c r="B635" s="650" t="s">
        <v>643</v>
      </c>
      <c r="C635" s="651"/>
      <c r="D635" s="5">
        <v>0</v>
      </c>
      <c r="E635" s="177"/>
      <c r="F635" s="5">
        <v>4586.16</v>
      </c>
      <c r="G635" s="143" t="e">
        <f t="shared" si="54"/>
        <v>#DIV/0!</v>
      </c>
      <c r="H635" s="143" t="e">
        <f t="shared" si="55"/>
        <v>#DIV/0!</v>
      </c>
      <c r="I635" s="144">
        <f>F635/F640</f>
        <v>2.7543701601467132E-4</v>
      </c>
    </row>
    <row r="636" spans="1:9" s="17" customFormat="1" ht="16.5" customHeight="1" x14ac:dyDescent="0.2">
      <c r="A636" s="106">
        <v>11418</v>
      </c>
      <c r="B636" s="650" t="s">
        <v>645</v>
      </c>
      <c r="C636" s="651"/>
      <c r="D636" s="5">
        <v>0</v>
      </c>
      <c r="E636" s="177"/>
      <c r="F636" s="5">
        <v>21739.86</v>
      </c>
      <c r="G636" s="143" t="e">
        <f t="shared" si="54"/>
        <v>#DIV/0!</v>
      </c>
      <c r="H636" s="143" t="e">
        <f t="shared" si="55"/>
        <v>#DIV/0!</v>
      </c>
      <c r="I636" s="144">
        <f>F636/F640</f>
        <v>1.30565923713449E-3</v>
      </c>
    </row>
    <row r="637" spans="1:9" s="17" customFormat="1" ht="16.5" customHeight="1" x14ac:dyDescent="0.2">
      <c r="A637" s="106">
        <v>11431</v>
      </c>
      <c r="B637" s="650" t="s">
        <v>646</v>
      </c>
      <c r="C637" s="651"/>
      <c r="D637" s="5">
        <v>0</v>
      </c>
      <c r="E637" s="177"/>
      <c r="F637" s="5">
        <v>193716.82</v>
      </c>
      <c r="G637" s="143" t="e">
        <f t="shared" si="54"/>
        <v>#DIV/0!</v>
      </c>
      <c r="H637" s="143" t="e">
        <f t="shared" si="55"/>
        <v>#DIV/0!</v>
      </c>
      <c r="I637" s="144">
        <f>F637/F640</f>
        <v>1.1634304702114887E-2</v>
      </c>
    </row>
    <row r="638" spans="1:9" s="17" customFormat="1" ht="16.5" customHeight="1" x14ac:dyDescent="0.2">
      <c r="A638" s="106">
        <v>11611</v>
      </c>
      <c r="B638" s="650" t="s">
        <v>644</v>
      </c>
      <c r="C638" s="651"/>
      <c r="D638" s="5">
        <v>0</v>
      </c>
      <c r="E638" s="177"/>
      <c r="F638" s="5">
        <v>12483.67</v>
      </c>
      <c r="G638" s="143" t="e">
        <f t="shared" si="54"/>
        <v>#DIV/0!</v>
      </c>
      <c r="H638" s="143" t="e">
        <f t="shared" si="55"/>
        <v>#DIV/0!</v>
      </c>
      <c r="I638" s="144">
        <f>F638/F640</f>
        <v>7.4974811469985178E-4</v>
      </c>
    </row>
    <row r="639" spans="1:9" s="17" customFormat="1" ht="16.5" customHeight="1" x14ac:dyDescent="0.2">
      <c r="A639" s="106">
        <v>11900</v>
      </c>
      <c r="B639" s="568" t="s">
        <v>497</v>
      </c>
      <c r="C639" s="569"/>
      <c r="D639" s="5">
        <v>2627364.2599999998</v>
      </c>
      <c r="E639" s="177"/>
      <c r="F639" s="5">
        <v>3374651.47</v>
      </c>
      <c r="G639" s="143">
        <f t="shared" si="54"/>
        <v>1.284424669002691</v>
      </c>
      <c r="H639" s="143" t="e">
        <f t="shared" si="55"/>
        <v>#DIV/0!</v>
      </c>
      <c r="I639" s="144">
        <f>F639/F640</f>
        <v>0.2026758619381627</v>
      </c>
    </row>
    <row r="640" spans="1:9" s="17" customFormat="1" ht="16.5" customHeight="1" x14ac:dyDescent="0.2">
      <c r="A640" s="178"/>
      <c r="B640" s="718" t="s">
        <v>192</v>
      </c>
      <c r="C640" s="719"/>
      <c r="D640" s="597">
        <f>SUM(D625:D639)</f>
        <v>14961211.73</v>
      </c>
      <c r="E640" s="597">
        <f>E613</f>
        <v>18311430.660000004</v>
      </c>
      <c r="F640" s="597">
        <f>F625+F626+F627+F628+F629+F630+F631+F632+F633+F634+F635+F636+F637+F638+F639</f>
        <v>16650485.349999998</v>
      </c>
      <c r="G640" s="179">
        <f t="shared" si="54"/>
        <v>1.1129102141247484</v>
      </c>
      <c r="H640" s="179">
        <f t="shared" si="55"/>
        <v>0.90929461816283852</v>
      </c>
      <c r="I640" s="48">
        <f>SUM(I625:I639)</f>
        <v>0.99999999999999978</v>
      </c>
    </row>
    <row r="641" spans="1:9" s="17" customFormat="1" ht="16.5" customHeight="1" x14ac:dyDescent="0.2">
      <c r="A641" s="139"/>
      <c r="B641" s="139"/>
      <c r="C641" s="139"/>
      <c r="D641" s="139"/>
      <c r="E641" s="139"/>
      <c r="F641" s="139"/>
      <c r="G641" s="139"/>
      <c r="H641" s="139"/>
      <c r="I641" s="15"/>
    </row>
    <row r="642" spans="1:9" s="17" customFormat="1" ht="16.5" customHeight="1" x14ac:dyDescent="0.2">
      <c r="A642" s="714" t="s">
        <v>647</v>
      </c>
      <c r="B642" s="714"/>
      <c r="C642" s="714"/>
      <c r="D642" s="714"/>
      <c r="E642" s="714"/>
      <c r="F642" s="714"/>
      <c r="G642" s="714"/>
      <c r="H642" s="714"/>
      <c r="I642" s="714"/>
    </row>
    <row r="643" spans="1:9" s="17" customFormat="1" ht="16.5" customHeight="1" x14ac:dyDescent="0.2">
      <c r="A643" s="714" t="s">
        <v>648</v>
      </c>
      <c r="B643" s="714"/>
      <c r="C643" s="714"/>
      <c r="D643" s="714"/>
      <c r="E643" s="714"/>
      <c r="F643" s="714"/>
      <c r="G643" s="714"/>
      <c r="H643" s="714"/>
      <c r="I643" s="714"/>
    </row>
    <row r="644" spans="1:9" s="17" customFormat="1" ht="16.5" customHeight="1" x14ac:dyDescent="0.2">
      <c r="A644" s="652"/>
      <c r="B644" s="652" t="s">
        <v>650</v>
      </c>
      <c r="C644" s="652"/>
      <c r="D644" s="652"/>
      <c r="E644" s="652"/>
      <c r="F644" s="652"/>
      <c r="G644" s="652"/>
      <c r="H644" s="652"/>
      <c r="I644" s="652"/>
    </row>
    <row r="645" spans="1:9" s="17" customFormat="1" ht="16.5" customHeight="1" x14ac:dyDescent="0.2">
      <c r="A645" s="652" t="s">
        <v>651</v>
      </c>
      <c r="B645" s="652"/>
      <c r="C645" s="652"/>
      <c r="D645" s="652"/>
      <c r="E645" s="652"/>
      <c r="F645" s="652"/>
      <c r="G645" s="652"/>
      <c r="H645" s="652"/>
      <c r="I645" s="652"/>
    </row>
    <row r="646" spans="1:9" s="17" customFormat="1" ht="16.5" customHeight="1" x14ac:dyDescent="0.2">
      <c r="A646" s="714" t="s">
        <v>446</v>
      </c>
      <c r="B646" s="714"/>
      <c r="C646" s="714"/>
      <c r="D646" s="714"/>
      <c r="E646" s="714"/>
      <c r="F646" s="714"/>
      <c r="G646" s="714"/>
      <c r="H646" s="714"/>
      <c r="I646" s="714"/>
    </row>
    <row r="647" spans="1:9" s="17" customFormat="1" ht="16.5" customHeight="1" x14ac:dyDescent="0.2">
      <c r="A647" s="714" t="s">
        <v>649</v>
      </c>
      <c r="B647" s="714"/>
      <c r="C647" s="714"/>
      <c r="D647" s="714"/>
      <c r="E647" s="714"/>
      <c r="F647" s="714"/>
      <c r="G647" s="714"/>
      <c r="H647" s="714"/>
      <c r="I647" s="714"/>
    </row>
    <row r="648" spans="1:9" s="17" customFormat="1" ht="16.5" customHeight="1" x14ac:dyDescent="0.2">
      <c r="A648" s="523"/>
      <c r="B648" s="523"/>
      <c r="C648" s="523"/>
      <c r="D648" s="523"/>
      <c r="E648" s="523"/>
      <c r="F648" s="523"/>
      <c r="G648" s="523"/>
      <c r="H648" s="523"/>
      <c r="I648" s="523"/>
    </row>
    <row r="649" spans="1:9" s="17" customFormat="1" ht="16.5" customHeight="1" x14ac:dyDescent="0.2">
      <c r="A649" s="523"/>
      <c r="B649" s="523"/>
      <c r="C649" s="523"/>
      <c r="D649" s="523"/>
      <c r="E649" s="523"/>
      <c r="F649" s="523"/>
      <c r="G649" s="523"/>
      <c r="H649" s="523"/>
      <c r="I649" s="523"/>
    </row>
    <row r="650" spans="1:9" s="17" customFormat="1" ht="16.5" customHeight="1" x14ac:dyDescent="0.2">
      <c r="A650" s="523"/>
      <c r="B650" s="523"/>
      <c r="C650" s="523"/>
      <c r="D650" s="523"/>
      <c r="E650" s="523"/>
      <c r="F650" s="523"/>
      <c r="G650" s="523"/>
      <c r="H650" s="523"/>
      <c r="I650" s="409">
        <v>10</v>
      </c>
    </row>
    <row r="651" spans="1:9" s="17" customFormat="1" ht="16.5" customHeight="1" x14ac:dyDescent="0.2">
      <c r="A651" s="523"/>
      <c r="B651" s="523"/>
      <c r="C651" s="523"/>
      <c r="D651" s="523"/>
      <c r="E651" s="523"/>
      <c r="F651" s="523"/>
      <c r="G651" s="523"/>
      <c r="H651" s="523"/>
      <c r="I651" s="523"/>
    </row>
    <row r="652" spans="1:9" s="17" customFormat="1" ht="16.5" customHeight="1" x14ac:dyDescent="0.2">
      <c r="A652" s="523"/>
      <c r="B652" s="523"/>
      <c r="C652" s="523"/>
      <c r="D652" s="523"/>
      <c r="E652" s="523"/>
      <c r="F652" s="523"/>
      <c r="G652" s="523"/>
      <c r="H652" s="523"/>
      <c r="I652" s="523"/>
    </row>
    <row r="653" spans="1:9" s="17" customFormat="1" ht="16.5" customHeight="1" x14ac:dyDescent="0.2">
      <c r="A653" s="523"/>
      <c r="B653" s="523"/>
      <c r="C653" s="523"/>
      <c r="D653" s="701" t="s">
        <v>85</v>
      </c>
      <c r="E653" s="701"/>
      <c r="F653" s="701"/>
      <c r="G653" s="523"/>
      <c r="H653" s="523"/>
      <c r="I653" s="15"/>
    </row>
    <row r="654" spans="1:9" s="17" customFormat="1" ht="16.5" customHeight="1" x14ac:dyDescent="0.2">
      <c r="A654" s="523"/>
      <c r="B654" s="523"/>
      <c r="C654" s="523"/>
      <c r="D654" s="526"/>
      <c r="E654" s="526"/>
      <c r="F654" s="526"/>
      <c r="G654" s="523"/>
      <c r="H654" s="523"/>
      <c r="I654" s="15"/>
    </row>
    <row r="655" spans="1:9" s="17" customFormat="1" ht="16.5" customHeight="1" x14ac:dyDescent="0.2">
      <c r="A655" s="572" t="s">
        <v>48</v>
      </c>
      <c r="B655" s="702" t="s">
        <v>49</v>
      </c>
      <c r="C655" s="703"/>
      <c r="D655" s="380" t="s">
        <v>86</v>
      </c>
      <c r="E655" s="530" t="s">
        <v>152</v>
      </c>
      <c r="F655" s="40" t="s">
        <v>87</v>
      </c>
      <c r="G655" s="706" t="s">
        <v>52</v>
      </c>
      <c r="H655" s="707"/>
      <c r="I655" s="708" t="s">
        <v>53</v>
      </c>
    </row>
    <row r="656" spans="1:9" s="17" customFormat="1" ht="16.5" customHeight="1" x14ac:dyDescent="0.2">
      <c r="A656" s="23" t="s">
        <v>54</v>
      </c>
      <c r="B656" s="704"/>
      <c r="C656" s="705"/>
      <c r="D656" s="381" t="s">
        <v>584</v>
      </c>
      <c r="E656" s="41" t="s">
        <v>573</v>
      </c>
      <c r="F656" s="41" t="s">
        <v>607</v>
      </c>
      <c r="G656" s="24" t="s">
        <v>55</v>
      </c>
      <c r="H656" s="24" t="s">
        <v>56</v>
      </c>
      <c r="I656" s="709"/>
    </row>
    <row r="657" spans="1:9" s="17" customFormat="1" ht="16.5" customHeight="1" x14ac:dyDescent="0.2">
      <c r="A657" s="180">
        <v>1</v>
      </c>
      <c r="B657" s="824">
        <v>2</v>
      </c>
      <c r="C657" s="825"/>
      <c r="D657" s="181">
        <v>3</v>
      </c>
      <c r="E657" s="182">
        <v>4</v>
      </c>
      <c r="F657" s="181">
        <v>5</v>
      </c>
      <c r="G657" s="181">
        <v>6</v>
      </c>
      <c r="H657" s="181">
        <v>7</v>
      </c>
      <c r="I657" s="183">
        <v>8</v>
      </c>
    </row>
    <row r="658" spans="1:9" s="17" customFormat="1" ht="16.5" customHeight="1" x14ac:dyDescent="0.2">
      <c r="A658" s="549">
        <v>16019</v>
      </c>
      <c r="B658" s="819" t="s">
        <v>57</v>
      </c>
      <c r="C658" s="820"/>
      <c r="D658" s="350">
        <v>110190.21</v>
      </c>
      <c r="E658" s="355">
        <v>213113.14</v>
      </c>
      <c r="F658" s="350">
        <v>144580.20000000001</v>
      </c>
      <c r="G658" s="351">
        <f t="shared" ref="G658:G690" si="56">F658/D658</f>
        <v>1.3120966009593775</v>
      </c>
      <c r="H658" s="351">
        <f t="shared" ref="H658:H690" si="57">F658/E658</f>
        <v>0.67841992286350805</v>
      </c>
      <c r="I658" s="352">
        <f>F658/F690</f>
        <v>8.6832423776763961E-3</v>
      </c>
    </row>
    <row r="659" spans="1:9" s="17" customFormat="1" ht="16.5" customHeight="1" x14ac:dyDescent="0.2">
      <c r="A659" s="549">
        <v>163</v>
      </c>
      <c r="B659" s="819" t="s">
        <v>17</v>
      </c>
      <c r="C659" s="820"/>
      <c r="D659" s="360">
        <f>D660+D661+D662</f>
        <v>255834.18000000002</v>
      </c>
      <c r="E659" s="360">
        <f>E660+E661+E662</f>
        <v>418143.89</v>
      </c>
      <c r="F659" s="360">
        <f>F660+F661+F662</f>
        <v>300248.41000000003</v>
      </c>
      <c r="G659" s="351">
        <f t="shared" si="56"/>
        <v>1.1736055362109943</v>
      </c>
      <c r="H659" s="351">
        <f t="shared" si="57"/>
        <v>0.71805045387605693</v>
      </c>
      <c r="I659" s="354">
        <f>F659/F690</f>
        <v>1.8032411890023373E-2</v>
      </c>
    </row>
    <row r="660" spans="1:9" s="17" customFormat="1" ht="16.5" customHeight="1" x14ac:dyDescent="0.2">
      <c r="A660" s="217">
        <v>16319</v>
      </c>
      <c r="B660" s="801" t="s">
        <v>166</v>
      </c>
      <c r="C660" s="802"/>
      <c r="D660" s="155">
        <v>250039.04000000001</v>
      </c>
      <c r="E660" s="155">
        <v>403350.19</v>
      </c>
      <c r="F660" s="155">
        <v>288675.68</v>
      </c>
      <c r="G660" s="143">
        <f t="shared" si="56"/>
        <v>1.154522429777366</v>
      </c>
      <c r="H660" s="143">
        <f t="shared" si="57"/>
        <v>0.71569491513069572</v>
      </c>
      <c r="I660" s="76">
        <f>F660/F659</f>
        <v>0.96145614892681686</v>
      </c>
    </row>
    <row r="661" spans="1:9" s="17" customFormat="1" ht="16.5" customHeight="1" x14ac:dyDescent="0.2">
      <c r="A661" s="217">
        <v>16519</v>
      </c>
      <c r="B661" s="801" t="s">
        <v>167</v>
      </c>
      <c r="C661" s="802"/>
      <c r="D661" s="155">
        <v>0</v>
      </c>
      <c r="E661" s="5">
        <v>6537.3</v>
      </c>
      <c r="F661" s="155">
        <v>1693.28</v>
      </c>
      <c r="G661" s="143" t="e">
        <f t="shared" si="56"/>
        <v>#DIV/0!</v>
      </c>
      <c r="H661" s="143">
        <f t="shared" si="57"/>
        <v>0.25901824912425619</v>
      </c>
      <c r="I661" s="76">
        <f>F661/F659</f>
        <v>5.6395968924531515E-3</v>
      </c>
    </row>
    <row r="662" spans="1:9" s="17" customFormat="1" ht="16.5" customHeight="1" x14ac:dyDescent="0.2">
      <c r="A662" s="217">
        <v>16559</v>
      </c>
      <c r="B662" s="801" t="s">
        <v>168</v>
      </c>
      <c r="C662" s="802"/>
      <c r="D662" s="155">
        <v>5795.14</v>
      </c>
      <c r="E662" s="5">
        <v>8256.4</v>
      </c>
      <c r="F662" s="155">
        <v>9879.4500000000007</v>
      </c>
      <c r="G662" s="143">
        <f t="shared" si="56"/>
        <v>1.7047819379687117</v>
      </c>
      <c r="H662" s="143">
        <f t="shared" si="57"/>
        <v>1.196580834261906</v>
      </c>
      <c r="I662" s="76">
        <f>F662/F659</f>
        <v>3.2904254180729883E-2</v>
      </c>
    </row>
    <row r="663" spans="1:9" s="17" customFormat="1" ht="16.5" customHeight="1" x14ac:dyDescent="0.2">
      <c r="A663" s="549">
        <v>16637</v>
      </c>
      <c r="B663" s="819" t="s">
        <v>64</v>
      </c>
      <c r="C663" s="820"/>
      <c r="D663" s="350">
        <v>154326.26</v>
      </c>
      <c r="E663" s="355">
        <v>258957.18</v>
      </c>
      <c r="F663" s="350">
        <v>166800.82999999999</v>
      </c>
      <c r="G663" s="351">
        <f t="shared" si="56"/>
        <v>1.0808324519754446</v>
      </c>
      <c r="H663" s="351">
        <f t="shared" si="57"/>
        <v>0.64412514068928306</v>
      </c>
      <c r="I663" s="354">
        <f>F663/F690</f>
        <v>1.001777584819772E-2</v>
      </c>
    </row>
    <row r="664" spans="1:9" s="17" customFormat="1" ht="16.5" customHeight="1" x14ac:dyDescent="0.2">
      <c r="A664" s="549">
        <v>16795</v>
      </c>
      <c r="B664" s="819" t="s">
        <v>65</v>
      </c>
      <c r="C664" s="820"/>
      <c r="D664" s="350">
        <v>17419.099999999999</v>
      </c>
      <c r="E664" s="355">
        <v>29709.58</v>
      </c>
      <c r="F664" s="350">
        <v>20466.490000000002</v>
      </c>
      <c r="G664" s="351">
        <f t="shared" si="56"/>
        <v>1.1749453186444767</v>
      </c>
      <c r="H664" s="351">
        <f t="shared" si="57"/>
        <v>0.6888852013390967</v>
      </c>
      <c r="I664" s="354">
        <f>F664/F690</f>
        <v>1.2291827877557936E-3</v>
      </c>
    </row>
    <row r="665" spans="1:9" s="17" customFormat="1" ht="16.5" customHeight="1" x14ac:dyDescent="0.2">
      <c r="A665" s="549">
        <v>16919</v>
      </c>
      <c r="B665" s="819" t="s">
        <v>66</v>
      </c>
      <c r="C665" s="820"/>
      <c r="D665" s="350">
        <v>192516.47</v>
      </c>
      <c r="E665" s="355">
        <v>229856.86</v>
      </c>
      <c r="F665" s="350">
        <v>171069.73</v>
      </c>
      <c r="G665" s="351">
        <f t="shared" si="56"/>
        <v>0.88859789502685149</v>
      </c>
      <c r="H665" s="351">
        <f t="shared" si="57"/>
        <v>0.74424461380008422</v>
      </c>
      <c r="I665" s="354">
        <f>F665/F690</f>
        <v>1.0274158764987593E-2</v>
      </c>
    </row>
    <row r="666" spans="1:9" s="17" customFormat="1" ht="16.5" customHeight="1" x14ac:dyDescent="0.2">
      <c r="A666" s="549">
        <v>17519</v>
      </c>
      <c r="B666" s="819" t="s">
        <v>25</v>
      </c>
      <c r="C666" s="820"/>
      <c r="D666" s="350">
        <v>182660.61</v>
      </c>
      <c r="E666" s="355">
        <v>253393.82</v>
      </c>
      <c r="F666" s="350">
        <v>176135.36</v>
      </c>
      <c r="G666" s="351">
        <f t="shared" si="56"/>
        <v>0.96427664399018487</v>
      </c>
      <c r="H666" s="351">
        <f t="shared" si="57"/>
        <v>0.6951051923839342</v>
      </c>
      <c r="I666" s="354">
        <f>F666/F690</f>
        <v>1.0578391938586942E-2</v>
      </c>
    </row>
    <row r="667" spans="1:9" s="17" customFormat="1" ht="16.5" customHeight="1" x14ac:dyDescent="0.2">
      <c r="A667" s="549">
        <v>180</v>
      </c>
      <c r="B667" s="819" t="s">
        <v>26</v>
      </c>
      <c r="C667" s="820"/>
      <c r="D667" s="355">
        <f>D668+D669</f>
        <v>263653.02</v>
      </c>
      <c r="E667" s="355">
        <f>E668+E669</f>
        <v>484431.83999999997</v>
      </c>
      <c r="F667" s="355">
        <f>F668+F669</f>
        <v>353893.17</v>
      </c>
      <c r="G667" s="351">
        <f t="shared" si="56"/>
        <v>1.3422685998438399</v>
      </c>
      <c r="H667" s="351">
        <f t="shared" si="57"/>
        <v>0.73053243155941194</v>
      </c>
      <c r="I667" s="354">
        <f>F667/F690</f>
        <v>2.125422548118094E-2</v>
      </c>
    </row>
    <row r="668" spans="1:9" s="17" customFormat="1" ht="16.5" customHeight="1" x14ac:dyDescent="0.2">
      <c r="A668" s="217">
        <v>18019</v>
      </c>
      <c r="B668" s="801" t="s">
        <v>170</v>
      </c>
      <c r="C668" s="802"/>
      <c r="D668" s="145">
        <v>61095.1</v>
      </c>
      <c r="E668" s="5">
        <v>128580.3</v>
      </c>
      <c r="F668" s="145">
        <v>93546.55</v>
      </c>
      <c r="G668" s="143">
        <f t="shared" si="56"/>
        <v>1.5311628919504183</v>
      </c>
      <c r="H668" s="143">
        <f t="shared" si="57"/>
        <v>0.7275340779264009</v>
      </c>
      <c r="I668" s="76">
        <f>F668/F667</f>
        <v>0.26433556205676423</v>
      </c>
    </row>
    <row r="669" spans="1:9" s="17" customFormat="1" ht="16.5" customHeight="1" x14ac:dyDescent="0.2">
      <c r="A669" s="217">
        <v>18295</v>
      </c>
      <c r="B669" s="801" t="s">
        <v>171</v>
      </c>
      <c r="C669" s="802"/>
      <c r="D669" s="145">
        <v>202557.92</v>
      </c>
      <c r="E669" s="5">
        <v>355851.54</v>
      </c>
      <c r="F669" s="145">
        <v>260346.62</v>
      </c>
      <c r="G669" s="143">
        <f t="shared" si="56"/>
        <v>1.2852946949692214</v>
      </c>
      <c r="H669" s="143">
        <f t="shared" si="57"/>
        <v>0.7316158305792354</v>
      </c>
      <c r="I669" s="76">
        <f>F669/F667</f>
        <v>0.73566443794323588</v>
      </c>
    </row>
    <row r="670" spans="1:9" s="17" customFormat="1" ht="16.5" customHeight="1" x14ac:dyDescent="0.2">
      <c r="A670" s="549">
        <v>19595</v>
      </c>
      <c r="B670" s="819" t="s">
        <v>172</v>
      </c>
      <c r="C670" s="820"/>
      <c r="D670" s="350">
        <v>49804.84</v>
      </c>
      <c r="E670" s="355">
        <v>52784.97</v>
      </c>
      <c r="F670" s="350">
        <v>35083.269999999997</v>
      </c>
      <c r="G670" s="351">
        <f t="shared" si="56"/>
        <v>0.70441487212889353</v>
      </c>
      <c r="H670" s="351">
        <f t="shared" si="57"/>
        <v>0.66464506847308991</v>
      </c>
      <c r="I670" s="354">
        <f>F670/F690</f>
        <v>2.1070418827160492E-3</v>
      </c>
    </row>
    <row r="671" spans="1:9" s="17" customFormat="1" ht="16.5" customHeight="1" x14ac:dyDescent="0.2">
      <c r="A671" s="549">
        <v>47019</v>
      </c>
      <c r="B671" s="819" t="s">
        <v>71</v>
      </c>
      <c r="C671" s="820"/>
      <c r="D671" s="350">
        <v>105092.83</v>
      </c>
      <c r="E671" s="355">
        <v>160415.44</v>
      </c>
      <c r="F671" s="350">
        <v>110166.96</v>
      </c>
      <c r="G671" s="351">
        <f t="shared" si="56"/>
        <v>1.0482823614132382</v>
      </c>
      <c r="H671" s="351">
        <f t="shared" si="57"/>
        <v>0.68676032681143417</v>
      </c>
      <c r="I671" s="354">
        <f>F671/F690</f>
        <v>6.6164413639750149E-3</v>
      </c>
    </row>
    <row r="672" spans="1:9" s="17" customFormat="1" ht="16.5" customHeight="1" x14ac:dyDescent="0.2">
      <c r="A672" s="549">
        <v>48019</v>
      </c>
      <c r="B672" s="819" t="s">
        <v>72</v>
      </c>
      <c r="C672" s="820"/>
      <c r="D672" s="350">
        <v>54457.86</v>
      </c>
      <c r="E672" s="355">
        <v>87936.29</v>
      </c>
      <c r="F672" s="350">
        <v>68754.63</v>
      </c>
      <c r="G672" s="351">
        <f t="shared" si="56"/>
        <v>1.2625290453939984</v>
      </c>
      <c r="H672" s="351">
        <f t="shared" si="57"/>
        <v>0.78186866878282002</v>
      </c>
      <c r="I672" s="354">
        <f>F672/F690</f>
        <v>4.1292868378758696E-3</v>
      </c>
    </row>
    <row r="673" spans="1:9" s="17" customFormat="1" ht="16.5" customHeight="1" x14ac:dyDescent="0.2">
      <c r="A673" s="549">
        <v>650</v>
      </c>
      <c r="B673" s="819" t="s">
        <v>31</v>
      </c>
      <c r="C673" s="820"/>
      <c r="D673" s="355">
        <f>D674+D675</f>
        <v>125439.92</v>
      </c>
      <c r="E673" s="355">
        <f>E674+E675</f>
        <v>191702.96000000002</v>
      </c>
      <c r="F673" s="355">
        <f>F674+F675</f>
        <v>132801.28</v>
      </c>
      <c r="G673" s="351">
        <f t="shared" si="56"/>
        <v>1.0586843486507325</v>
      </c>
      <c r="H673" s="351">
        <f t="shared" si="57"/>
        <v>0.69274506768179267</v>
      </c>
      <c r="I673" s="354">
        <f>F673/F690</f>
        <v>7.9758203564918896E-3</v>
      </c>
    </row>
    <row r="674" spans="1:9" s="17" customFormat="1" ht="16.5" customHeight="1" x14ac:dyDescent="0.2">
      <c r="A674" s="217">
        <v>65095</v>
      </c>
      <c r="B674" s="801" t="s">
        <v>173</v>
      </c>
      <c r="C674" s="802"/>
      <c r="D674" s="145">
        <v>96201.22</v>
      </c>
      <c r="E674" s="5">
        <v>142200.13</v>
      </c>
      <c r="F674" s="145">
        <v>100091.76</v>
      </c>
      <c r="G674" s="143">
        <f t="shared" si="56"/>
        <v>1.0404416908642113</v>
      </c>
      <c r="H674" s="143">
        <f t="shared" si="57"/>
        <v>0.70387952528594733</v>
      </c>
      <c r="I674" s="76">
        <f>F674/F673</f>
        <v>0.75369574751086732</v>
      </c>
    </row>
    <row r="675" spans="1:9" s="17" customFormat="1" ht="16.5" customHeight="1" x14ac:dyDescent="0.2">
      <c r="A675" s="217">
        <v>65495</v>
      </c>
      <c r="B675" s="801" t="s">
        <v>174</v>
      </c>
      <c r="C675" s="802"/>
      <c r="D675" s="156">
        <v>29238.7</v>
      </c>
      <c r="E675" s="369">
        <v>49502.83</v>
      </c>
      <c r="F675" s="156">
        <v>32709.52</v>
      </c>
      <c r="G675" s="143">
        <f t="shared" si="56"/>
        <v>1.1187063720343244</v>
      </c>
      <c r="H675" s="143">
        <f t="shared" si="57"/>
        <v>0.66076060701984107</v>
      </c>
      <c r="I675" s="76">
        <f>F675/F673</f>
        <v>0.24630425248913265</v>
      </c>
    </row>
    <row r="676" spans="1:9" s="17" customFormat="1" ht="16.5" customHeight="1" x14ac:dyDescent="0.2">
      <c r="A676" s="549">
        <v>66100</v>
      </c>
      <c r="B676" s="819" t="s">
        <v>74</v>
      </c>
      <c r="C676" s="820"/>
      <c r="D676" s="361">
        <v>84114.91</v>
      </c>
      <c r="E676" s="353">
        <v>116717.96</v>
      </c>
      <c r="F676" s="361">
        <v>82514.86</v>
      </c>
      <c r="G676" s="351">
        <f t="shared" si="56"/>
        <v>0.98097780762055142</v>
      </c>
      <c r="H676" s="351">
        <f t="shared" si="57"/>
        <v>0.70695940881763175</v>
      </c>
      <c r="I676" s="354">
        <f>F676/F690</f>
        <v>4.9557029879612486E-3</v>
      </c>
    </row>
    <row r="677" spans="1:9" s="17" customFormat="1" ht="16.5" customHeight="1" x14ac:dyDescent="0.2">
      <c r="A677" s="132">
        <v>730</v>
      </c>
      <c r="B677" s="819" t="s">
        <v>75</v>
      </c>
      <c r="C677" s="820"/>
      <c r="D677" s="356">
        <f>D678+D679</f>
        <v>2309160.08</v>
      </c>
      <c r="E677" s="356">
        <f>E678+E679</f>
        <v>3496567.83</v>
      </c>
      <c r="F677" s="356">
        <f>F678+F679</f>
        <v>2509976.94</v>
      </c>
      <c r="G677" s="351">
        <f t="shared" si="56"/>
        <v>1.0869653263709633</v>
      </c>
      <c r="H677" s="351">
        <f t="shared" si="57"/>
        <v>0.71784019702543567</v>
      </c>
      <c r="I677" s="357">
        <f>F677/F690</f>
        <v>0.15074497152721136</v>
      </c>
    </row>
    <row r="678" spans="1:9" s="17" customFormat="1" ht="16.5" customHeight="1" x14ac:dyDescent="0.2">
      <c r="A678" s="368">
        <v>73028</v>
      </c>
      <c r="B678" s="801" t="s">
        <v>175</v>
      </c>
      <c r="C678" s="802"/>
      <c r="D678" s="156">
        <v>24506.29</v>
      </c>
      <c r="E678" s="156">
        <v>33064.410000000003</v>
      </c>
      <c r="F678" s="156">
        <v>24724.73</v>
      </c>
      <c r="G678" s="143">
        <f t="shared" si="56"/>
        <v>1.0089136299292956</v>
      </c>
      <c r="H678" s="143">
        <f t="shared" si="57"/>
        <v>0.7477747221256934</v>
      </c>
      <c r="I678" s="76">
        <f>F678/F677</f>
        <v>9.850580539596511E-3</v>
      </c>
    </row>
    <row r="679" spans="1:9" s="17" customFormat="1" ht="16.5" customHeight="1" x14ac:dyDescent="0.2">
      <c r="A679" s="217">
        <v>74100</v>
      </c>
      <c r="B679" s="801" t="s">
        <v>176</v>
      </c>
      <c r="C679" s="802"/>
      <c r="D679" s="186">
        <v>2284653.79</v>
      </c>
      <c r="E679" s="156">
        <v>3463503.42</v>
      </c>
      <c r="F679" s="186">
        <v>2485252.21</v>
      </c>
      <c r="G679" s="143">
        <f t="shared" si="56"/>
        <v>1.0878025462229881</v>
      </c>
      <c r="H679" s="143">
        <f t="shared" si="57"/>
        <v>0.71755442643680134</v>
      </c>
      <c r="I679" s="76">
        <f>F679/F677</f>
        <v>0.99014941946040347</v>
      </c>
    </row>
    <row r="680" spans="1:9" s="17" customFormat="1" ht="16.5" customHeight="1" x14ac:dyDescent="0.2">
      <c r="A680" s="549">
        <v>75591</v>
      </c>
      <c r="B680" s="819" t="s">
        <v>177</v>
      </c>
      <c r="C680" s="820"/>
      <c r="D680" s="362">
        <v>95679.65</v>
      </c>
      <c r="E680" s="356">
        <v>160209.29999999999</v>
      </c>
      <c r="F680" s="362">
        <v>101842.11</v>
      </c>
      <c r="G680" s="351">
        <f t="shared" si="56"/>
        <v>1.0644072172086751</v>
      </c>
      <c r="H680" s="351">
        <f t="shared" si="57"/>
        <v>0.63568163645930675</v>
      </c>
      <c r="I680" s="354">
        <f>F680/F690</f>
        <v>6.1164649473716389E-3</v>
      </c>
    </row>
    <row r="681" spans="1:9" s="17" customFormat="1" ht="16.5" customHeight="1" x14ac:dyDescent="0.2">
      <c r="A681" s="639">
        <v>75592</v>
      </c>
      <c r="B681" s="641" t="s">
        <v>537</v>
      </c>
      <c r="C681" s="640"/>
      <c r="D681" s="356">
        <v>0</v>
      </c>
      <c r="E681" s="362">
        <v>52505.25</v>
      </c>
      <c r="F681" s="362">
        <v>0</v>
      </c>
      <c r="G681" s="351" t="e">
        <f t="shared" si="56"/>
        <v>#DIV/0!</v>
      </c>
      <c r="H681" s="351">
        <f t="shared" si="57"/>
        <v>0</v>
      </c>
      <c r="I681" s="354">
        <f>F681/F690</f>
        <v>0</v>
      </c>
    </row>
    <row r="682" spans="1:9" s="17" customFormat="1" ht="16.5" customHeight="1" x14ac:dyDescent="0.2">
      <c r="A682" s="549">
        <v>850</v>
      </c>
      <c r="B682" s="819" t="s">
        <v>40</v>
      </c>
      <c r="C682" s="820"/>
      <c r="D682" s="363">
        <f>D683+D684</f>
        <v>290872.2</v>
      </c>
      <c r="E682" s="363">
        <f t="shared" ref="E682:F682" si="58">E683+E684</f>
        <v>440363.93</v>
      </c>
      <c r="F682" s="363">
        <f t="shared" si="58"/>
        <v>290481.22000000003</v>
      </c>
      <c r="G682" s="351">
        <f t="shared" si="56"/>
        <v>0.99865583579317663</v>
      </c>
      <c r="H682" s="351">
        <f t="shared" si="57"/>
        <v>0.65963899450166141</v>
      </c>
      <c r="I682" s="364">
        <f>F682/F690</f>
        <v>1.7445810971510208E-2</v>
      </c>
    </row>
    <row r="683" spans="1:9" s="17" customFormat="1" ht="16.5" customHeight="1" x14ac:dyDescent="0.2">
      <c r="A683" s="184">
        <v>85019</v>
      </c>
      <c r="B683" s="358" t="s">
        <v>379</v>
      </c>
      <c r="C683" s="564"/>
      <c r="D683" s="365">
        <v>180984.92</v>
      </c>
      <c r="E683" s="365">
        <v>267250.94</v>
      </c>
      <c r="F683" s="365">
        <v>177193.42</v>
      </c>
      <c r="G683" s="143">
        <f t="shared" si="56"/>
        <v>0.97905074080205134</v>
      </c>
      <c r="H683" s="143">
        <f t="shared" si="57"/>
        <v>0.66302262585119442</v>
      </c>
      <c r="I683" s="366">
        <f>F683/F682</f>
        <v>0.60999957243363268</v>
      </c>
    </row>
    <row r="684" spans="1:9" s="17" customFormat="1" ht="16.5" customHeight="1" x14ac:dyDescent="0.2">
      <c r="A684" s="184">
        <v>85184</v>
      </c>
      <c r="B684" s="801" t="s">
        <v>380</v>
      </c>
      <c r="C684" s="802"/>
      <c r="D684" s="365">
        <v>109887.28</v>
      </c>
      <c r="E684" s="365">
        <v>173112.99</v>
      </c>
      <c r="F684" s="365">
        <v>113287.8</v>
      </c>
      <c r="G684" s="143">
        <f t="shared" si="56"/>
        <v>1.0309455289092606</v>
      </c>
      <c r="H684" s="143">
        <f t="shared" si="57"/>
        <v>0.65441536189745209</v>
      </c>
      <c r="I684" s="367">
        <f>F684/F682</f>
        <v>0.39000042756636727</v>
      </c>
    </row>
    <row r="685" spans="1:9" s="17" customFormat="1" ht="16.5" customHeight="1" x14ac:dyDescent="0.2">
      <c r="A685" s="549">
        <v>920</v>
      </c>
      <c r="B685" s="819" t="s">
        <v>79</v>
      </c>
      <c r="C685" s="820"/>
      <c r="D685" s="355">
        <f>D686+D687+D688+D689</f>
        <v>10669989.59</v>
      </c>
      <c r="E685" s="355">
        <f t="shared" ref="E685:F685" si="59">E686+E687+E688+E689</f>
        <v>11664620.42</v>
      </c>
      <c r="F685" s="355">
        <f t="shared" si="59"/>
        <v>11985669.890000001</v>
      </c>
      <c r="G685" s="351">
        <f t="shared" si="56"/>
        <v>1.1233066151473163</v>
      </c>
      <c r="H685" s="351">
        <f t="shared" si="57"/>
        <v>1.0275233533917258</v>
      </c>
      <c r="I685" s="354">
        <f>F685/F690</f>
        <v>0.71983907003647796</v>
      </c>
    </row>
    <row r="686" spans="1:9" s="17" customFormat="1" ht="16.5" customHeight="1" x14ac:dyDescent="0.2">
      <c r="A686" s="217">
        <v>92095</v>
      </c>
      <c r="B686" s="801" t="s">
        <v>178</v>
      </c>
      <c r="C686" s="802"/>
      <c r="D686" s="5">
        <v>71755.75</v>
      </c>
      <c r="E686" s="5">
        <v>123675.15</v>
      </c>
      <c r="F686" s="5">
        <v>80782.259999999995</v>
      </c>
      <c r="G686" s="143">
        <f t="shared" si="56"/>
        <v>1.1257949362943038</v>
      </c>
      <c r="H686" s="143">
        <f t="shared" si="57"/>
        <v>0.65318101494115832</v>
      </c>
      <c r="I686" s="76">
        <f>F686/F685</f>
        <v>6.7399036300339818E-3</v>
      </c>
    </row>
    <row r="687" spans="1:9" s="17" customFormat="1" ht="16.5" customHeight="1" x14ac:dyDescent="0.2">
      <c r="A687" s="217">
        <v>92570</v>
      </c>
      <c r="B687" s="801" t="s">
        <v>179</v>
      </c>
      <c r="C687" s="802"/>
      <c r="D687" s="5">
        <v>353030.13</v>
      </c>
      <c r="E687" s="428">
        <v>575422.71999999997</v>
      </c>
      <c r="F687" s="5">
        <v>364904.54</v>
      </c>
      <c r="G687" s="143">
        <f t="shared" si="56"/>
        <v>1.0336356842969747</v>
      </c>
      <c r="H687" s="143">
        <f t="shared" si="57"/>
        <v>0.6341503859979668</v>
      </c>
      <c r="I687" s="76">
        <f>F687/F685</f>
        <v>3.0445068431631899E-2</v>
      </c>
    </row>
    <row r="688" spans="1:9" s="17" customFormat="1" ht="16.5" customHeight="1" x14ac:dyDescent="0.2">
      <c r="A688" s="217">
        <v>93540</v>
      </c>
      <c r="B688" s="801" t="s">
        <v>180</v>
      </c>
      <c r="C688" s="802"/>
      <c r="D688" s="5">
        <v>6935699.2300000004</v>
      </c>
      <c r="E688" s="428">
        <v>7817953.2999999998</v>
      </c>
      <c r="F688" s="5">
        <v>8947556.9800000004</v>
      </c>
      <c r="G688" s="143">
        <f t="shared" si="56"/>
        <v>1.2900728078429087</v>
      </c>
      <c r="H688" s="143">
        <f t="shared" si="57"/>
        <v>1.1444884148898664</v>
      </c>
      <c r="I688" s="76">
        <f>F688/F685</f>
        <v>0.74652122594042181</v>
      </c>
    </row>
    <row r="689" spans="1:12" s="17" customFormat="1" ht="16.5" customHeight="1" x14ac:dyDescent="0.2">
      <c r="A689" s="217">
        <v>94740</v>
      </c>
      <c r="B689" s="801" t="s">
        <v>181</v>
      </c>
      <c r="C689" s="802"/>
      <c r="D689" s="5">
        <v>3309504.48</v>
      </c>
      <c r="E689" s="428">
        <v>3147569.25</v>
      </c>
      <c r="F689" s="5">
        <v>2592426.11</v>
      </c>
      <c r="G689" s="143">
        <f t="shared" si="56"/>
        <v>0.78332757235004558</v>
      </c>
      <c r="H689" s="143">
        <f t="shared" si="57"/>
        <v>0.8236279821325615</v>
      </c>
      <c r="I689" s="76">
        <f>F689/F685</f>
        <v>0.21629380199791234</v>
      </c>
    </row>
    <row r="690" spans="1:12" s="17" customFormat="1" ht="16.5" customHeight="1" x14ac:dyDescent="0.2">
      <c r="A690" s="552"/>
      <c r="B690" s="560" t="s">
        <v>84</v>
      </c>
      <c r="C690" s="561"/>
      <c r="D690" s="386">
        <f>D658+D659+D663+D664+D665+D666+D667+D670+D671+D672+D673+D676+D677+D680+D681+D682+D685</f>
        <v>14961211.73</v>
      </c>
      <c r="E690" s="386">
        <f>E658+E659+E663+E664+E665+E666+E667+E670+E671+E672+E673+E676+E677+E680+E681+E682+E685</f>
        <v>18311430.66</v>
      </c>
      <c r="F690" s="386">
        <f>F658+F659+F663+F664+F665+F666+F667+F670+F671+F672+F673+F676+F677+F680+F681+F682+F685</f>
        <v>16650485.350000001</v>
      </c>
      <c r="G690" s="148">
        <f t="shared" si="56"/>
        <v>1.1129102141247487</v>
      </c>
      <c r="H690" s="148">
        <f t="shared" si="57"/>
        <v>0.90929461816283896</v>
      </c>
      <c r="I690" s="48">
        <f>I658+I659+I663+I664+I665+I666+I667+I670+I671+I672+I673+I676+I677+I680+I682+I685</f>
        <v>1</v>
      </c>
    </row>
    <row r="691" spans="1:12" s="17" customFormat="1" ht="16.5" customHeight="1" x14ac:dyDescent="0.2">
      <c r="A691" s="187"/>
      <c r="B691" s="188"/>
      <c r="C691" s="189"/>
      <c r="D691" s="189"/>
      <c r="E691" s="189"/>
      <c r="F691" s="190"/>
      <c r="G691" s="191"/>
      <c r="H691" s="191"/>
      <c r="I691" s="149"/>
    </row>
    <row r="692" spans="1:12" s="17" customFormat="1" ht="16.5" customHeight="1" x14ac:dyDescent="0.2">
      <c r="A692" s="192"/>
      <c r="B692" s="735" t="s">
        <v>197</v>
      </c>
      <c r="C692" s="735"/>
      <c r="D692" s="735"/>
      <c r="E692" s="735"/>
      <c r="F692" s="735"/>
      <c r="G692" s="735"/>
      <c r="H692" s="735"/>
      <c r="I692" s="735"/>
    </row>
    <row r="693" spans="1:12" s="17" customFormat="1" ht="16.5" customHeight="1" x14ac:dyDescent="0.2"/>
    <row r="694" spans="1:12" s="17" customFormat="1" ht="16.5" customHeight="1" x14ac:dyDescent="0.2">
      <c r="L694" s="421"/>
    </row>
    <row r="695" spans="1:12" s="17" customFormat="1" ht="16.5" customHeight="1" x14ac:dyDescent="0.2"/>
    <row r="696" spans="1:12" s="17" customFormat="1" ht="16.5" customHeight="1" x14ac:dyDescent="0.2"/>
    <row r="697" spans="1:12" s="17" customFormat="1" ht="16.5" customHeight="1" x14ac:dyDescent="0.2"/>
    <row r="698" spans="1:12" s="17" customFormat="1" ht="16.5" customHeight="1" x14ac:dyDescent="0.2"/>
    <row r="699" spans="1:12" s="17" customFormat="1" ht="16.5" customHeight="1" x14ac:dyDescent="0.2">
      <c r="E699" s="421"/>
    </row>
    <row r="700" spans="1:12" s="17" customFormat="1" ht="16.5" customHeight="1" x14ac:dyDescent="0.2"/>
    <row r="701" spans="1:12" s="17" customFormat="1" ht="16.5" customHeight="1" x14ac:dyDescent="0.2"/>
    <row r="702" spans="1:12" s="17" customFormat="1" ht="16.5" customHeight="1" x14ac:dyDescent="0.2"/>
    <row r="703" spans="1:12" s="17" customFormat="1" ht="16.5" customHeight="1" x14ac:dyDescent="0.2">
      <c r="I703" s="410"/>
    </row>
    <row r="704" spans="1:12" s="17" customFormat="1" ht="16.5" customHeight="1" x14ac:dyDescent="0.2"/>
    <row r="705" spans="1:9" s="17" customFormat="1" ht="16.5" customHeight="1" x14ac:dyDescent="0.2"/>
    <row r="706" spans="1:9" s="17" customFormat="1" ht="16.5" customHeight="1" x14ac:dyDescent="0.2"/>
    <row r="707" spans="1:9" s="17" customFormat="1" ht="16.5" customHeight="1" x14ac:dyDescent="0.2"/>
    <row r="708" spans="1:9" s="17" customFormat="1" ht="16.5" customHeight="1" x14ac:dyDescent="0.2">
      <c r="I708" s="192"/>
    </row>
    <row r="709" spans="1:9" s="17" customFormat="1" ht="16.5" customHeight="1" x14ac:dyDescent="0.2">
      <c r="I709" s="409">
        <v>11</v>
      </c>
    </row>
    <row r="710" spans="1:9" s="17" customFormat="1" ht="16.5" customHeight="1" x14ac:dyDescent="0.2">
      <c r="A710" s="334" t="s">
        <v>406</v>
      </c>
      <c r="B710" s="193"/>
      <c r="C710" s="193"/>
      <c r="D710" s="193"/>
      <c r="E710" s="164"/>
      <c r="F710" s="15"/>
      <c r="G710" s="537"/>
      <c r="H710" s="541"/>
      <c r="I710" s="15"/>
    </row>
    <row r="711" spans="1:9" s="17" customFormat="1" ht="16.5" customHeight="1" x14ac:dyDescent="0.2">
      <c r="A711" s="537"/>
      <c r="B711" s="194"/>
      <c r="C711" s="194"/>
      <c r="D711" s="195"/>
      <c r="E711" s="15"/>
      <c r="F711" s="537"/>
      <c r="G711" s="537"/>
      <c r="H711" s="541"/>
      <c r="I711" s="15"/>
    </row>
    <row r="712" spans="1:9" s="17" customFormat="1" ht="16.5" customHeight="1" x14ac:dyDescent="0.2">
      <c r="A712" s="537" t="s">
        <v>652</v>
      </c>
      <c r="B712" s="537"/>
      <c r="C712" s="537"/>
      <c r="D712" s="537"/>
      <c r="E712" s="537"/>
      <c r="F712" s="537"/>
      <c r="G712" s="537"/>
      <c r="H712" s="537"/>
      <c r="I712" s="537"/>
    </row>
    <row r="713" spans="1:9" s="17" customFormat="1" ht="16.5" customHeight="1" x14ac:dyDescent="0.2">
      <c r="A713" s="714" t="s">
        <v>653</v>
      </c>
      <c r="B713" s="714"/>
      <c r="C713" s="714"/>
      <c r="D713" s="714"/>
      <c r="E713" s="714"/>
      <c r="F713" s="714"/>
      <c r="G713" s="714"/>
      <c r="H713" s="714"/>
      <c r="I713" s="714"/>
    </row>
    <row r="714" spans="1:9" s="17" customFormat="1" ht="16.5" customHeight="1" x14ac:dyDescent="0.2">
      <c r="A714" s="523"/>
      <c r="B714" s="523"/>
      <c r="C714" s="523"/>
      <c r="D714" s="523"/>
      <c r="E714" s="523"/>
      <c r="F714" s="523"/>
      <c r="G714" s="523"/>
      <c r="H714" s="523"/>
      <c r="I714" s="523"/>
    </row>
    <row r="715" spans="1:9" s="17" customFormat="1" ht="16.5" customHeight="1" x14ac:dyDescent="0.2">
      <c r="A715" s="714" t="s">
        <v>407</v>
      </c>
      <c r="B715" s="714"/>
      <c r="C715" s="714"/>
      <c r="D715" s="714"/>
      <c r="E715" s="714"/>
      <c r="F715" s="714"/>
      <c r="G715" s="714"/>
      <c r="H715" s="714"/>
      <c r="I715" s="714"/>
    </row>
    <row r="716" spans="1:9" s="17" customFormat="1" ht="16.5" customHeight="1" x14ac:dyDescent="0.2">
      <c r="A716" s="523"/>
      <c r="B716" s="523"/>
      <c r="C716" s="523"/>
      <c r="D716" s="523"/>
      <c r="E716" s="701" t="s">
        <v>85</v>
      </c>
      <c r="F716" s="523"/>
      <c r="G716" s="523"/>
      <c r="H716" s="523"/>
    </row>
    <row r="717" spans="1:9" s="17" customFormat="1" ht="16.5" customHeight="1" x14ac:dyDescent="0.2">
      <c r="A717" s="523"/>
      <c r="B717" s="523"/>
      <c r="C717" s="523"/>
      <c r="D717" s="523"/>
      <c r="E717" s="746"/>
      <c r="F717" s="523"/>
      <c r="G717" s="523"/>
      <c r="H717" s="523"/>
      <c r="I717" s="523"/>
    </row>
    <row r="718" spans="1:9" s="17" customFormat="1" ht="16.5" customHeight="1" x14ac:dyDescent="0.2">
      <c r="A718" s="809" t="s">
        <v>150</v>
      </c>
      <c r="B718" s="702" t="s">
        <v>151</v>
      </c>
      <c r="C718" s="703"/>
      <c r="D718" s="380" t="s">
        <v>86</v>
      </c>
      <c r="E718" s="530" t="s">
        <v>152</v>
      </c>
      <c r="F718" s="40" t="s">
        <v>87</v>
      </c>
      <c r="G718" s="706" t="s">
        <v>52</v>
      </c>
      <c r="H718" s="707"/>
      <c r="I718" s="534" t="s">
        <v>53</v>
      </c>
    </row>
    <row r="719" spans="1:9" s="17" customFormat="1" ht="16.5" customHeight="1" x14ac:dyDescent="0.2">
      <c r="A719" s="810"/>
      <c r="B719" s="704"/>
      <c r="C719" s="705"/>
      <c r="D719" s="381" t="s">
        <v>541</v>
      </c>
      <c r="E719" s="41" t="s">
        <v>573</v>
      </c>
      <c r="F719" s="41" t="s">
        <v>607</v>
      </c>
      <c r="G719" s="24" t="s">
        <v>55</v>
      </c>
      <c r="H719" s="24" t="s">
        <v>56</v>
      </c>
      <c r="I719" s="535"/>
    </row>
    <row r="720" spans="1:9" s="17" customFormat="1" ht="16.5" customHeight="1" x14ac:dyDescent="0.2">
      <c r="A720" s="131">
        <v>1</v>
      </c>
      <c r="B720" s="710">
        <v>2</v>
      </c>
      <c r="C720" s="711"/>
      <c r="D720" s="129">
        <v>3</v>
      </c>
      <c r="E720" s="129">
        <v>4</v>
      </c>
      <c r="F720" s="129">
        <v>5</v>
      </c>
      <c r="G720" s="129">
        <v>6</v>
      </c>
      <c r="H720" s="129">
        <v>7</v>
      </c>
      <c r="I720" s="142">
        <v>8</v>
      </c>
    </row>
    <row r="721" spans="1:9" s="17" customFormat="1" ht="16.5" customHeight="1" x14ac:dyDescent="0.2">
      <c r="A721" s="81">
        <v>10</v>
      </c>
      <c r="B721" s="716" t="s">
        <v>198</v>
      </c>
      <c r="C721" s="717"/>
      <c r="D721" s="145">
        <f>33663.52+568139.79+1738.92+2227.97+40865.9+300+7168.2+34553.52+348934.45+28596.87+3822.02+8567.12+10279.33+2642.84+2054+10923.24+2109.06+421633.6+6589.56+146628.02+4061.24+584881.05+28741.89+116697.73+5070.6</f>
        <v>2420890.4400000009</v>
      </c>
      <c r="E721" s="452">
        <f>47500+1788793.42+6500+2800+73500+1000+54000+32000+600000+46500+13500+24000+22000+6000+4000+16000+5000+620706.58+23700+45000+70000+17000+466000+80000+90000+39912.2</f>
        <v>4195412.2</v>
      </c>
      <c r="F721" s="145">
        <f>42415.51+1448793.42+4602.83+1274+70500+970+15976.76+28605.7+536048.6+35673.67+7653.9+7876.8+18753.9+3213.71+1476.6+11690.21+3750+445659.8+14634.97+16145.3+43382.83+10216.6+310150.08+48691.31+51298.49+11622.82</f>
        <v>3191077.8099999996</v>
      </c>
      <c r="G721" s="143">
        <f t="shared" ref="G721:G727" si="60">F721/D721</f>
        <v>1.3181421832538602</v>
      </c>
      <c r="H721" s="144">
        <f t="shared" ref="H721:H727" si="61">F721/E721</f>
        <v>0.76061127199849388</v>
      </c>
      <c r="I721" s="144">
        <f>F721/F727</f>
        <v>0.84592618391646812</v>
      </c>
    </row>
    <row r="722" spans="1:9" s="17" customFormat="1" ht="16.5" customHeight="1" x14ac:dyDescent="0.2">
      <c r="A722" s="81">
        <v>21</v>
      </c>
      <c r="B722" s="716" t="s">
        <v>109</v>
      </c>
      <c r="C722" s="717"/>
      <c r="D722" s="145">
        <f>156347.07+14117.94+102000+62582.89+153921.61+47027.36</f>
        <v>535996.87</v>
      </c>
      <c r="E722" s="452">
        <f>580000+18000+82000+45000+150000+50000+15087.8</f>
        <v>940087.8</v>
      </c>
      <c r="F722" s="145">
        <f>279871.53+18000+82000+89896.96+47491.82+2586.08</f>
        <v>519846.39000000007</v>
      </c>
      <c r="G722" s="143">
        <f t="shared" si="60"/>
        <v>0.9698683315072345</v>
      </c>
      <c r="H722" s="144">
        <f t="shared" si="61"/>
        <v>0.55297642411698145</v>
      </c>
      <c r="I722" s="144">
        <f>F722/F727</f>
        <v>0.13780662807324404</v>
      </c>
    </row>
    <row r="723" spans="1:9" s="17" customFormat="1" ht="16.5" customHeight="1" x14ac:dyDescent="0.2">
      <c r="A723" s="81">
        <v>22</v>
      </c>
      <c r="B723" s="716" t="s">
        <v>199</v>
      </c>
      <c r="C723" s="717"/>
      <c r="D723" s="145">
        <f>28167.78</f>
        <v>28167.78</v>
      </c>
      <c r="E723" s="453">
        <f>8365.1+1630.16+87.11+18094.65+236.32+286</f>
        <v>28699.340000000004</v>
      </c>
      <c r="F723" s="145">
        <f>1465.61+18094.65</f>
        <v>19560.260000000002</v>
      </c>
      <c r="G723" s="143">
        <f t="shared" si="60"/>
        <v>0.69441965252497717</v>
      </c>
      <c r="H723" s="144">
        <f t="shared" si="61"/>
        <v>0.68155783373415557</v>
      </c>
      <c r="I723" s="144">
        <f>F723/F727</f>
        <v>5.1852499636208926E-3</v>
      </c>
    </row>
    <row r="724" spans="1:9" s="17" customFormat="1" ht="16.5" customHeight="1" x14ac:dyDescent="0.2">
      <c r="A724" s="81">
        <v>31</v>
      </c>
      <c r="B724" s="716" t="s">
        <v>200</v>
      </c>
      <c r="C724" s="717"/>
      <c r="D724" s="145">
        <v>0</v>
      </c>
      <c r="E724" s="452">
        <v>0</v>
      </c>
      <c r="F724" s="145">
        <v>0</v>
      </c>
      <c r="G724" s="143" t="e">
        <f t="shared" si="60"/>
        <v>#DIV/0!</v>
      </c>
      <c r="H724" s="144" t="e">
        <f t="shared" si="61"/>
        <v>#DIV/0!</v>
      </c>
      <c r="I724" s="144">
        <f>F724/F727</f>
        <v>0</v>
      </c>
    </row>
    <row r="725" spans="1:9" s="17" customFormat="1" ht="16.5" customHeight="1" x14ac:dyDescent="0.2">
      <c r="A725" s="81" t="s">
        <v>158</v>
      </c>
      <c r="B725" s="716" t="s">
        <v>110</v>
      </c>
      <c r="C725" s="717"/>
      <c r="D725" s="145">
        <f>88112.3+2602</f>
        <v>90714.3</v>
      </c>
      <c r="E725" s="454">
        <f>5+44168.47+7855.2+10754+7866.92+226.8+244.62+42.69+1000</f>
        <v>72163.7</v>
      </c>
      <c r="F725" s="145">
        <f>36615.98+3693.99+1494.3</f>
        <v>41804.270000000004</v>
      </c>
      <c r="G725" s="143">
        <f t="shared" si="60"/>
        <v>0.46083439986859848</v>
      </c>
      <c r="H725" s="144">
        <f t="shared" si="61"/>
        <v>0.57929776327987625</v>
      </c>
      <c r="I725" s="144">
        <f>F725/F727</f>
        <v>1.1081938046666967E-2</v>
      </c>
    </row>
    <row r="726" spans="1:9" s="17" customFormat="1" ht="16.5" customHeight="1" x14ac:dyDescent="0.2">
      <c r="A726" s="81">
        <v>4</v>
      </c>
      <c r="B726" s="716" t="s">
        <v>160</v>
      </c>
      <c r="C726" s="717"/>
      <c r="D726" s="145">
        <v>0</v>
      </c>
      <c r="E726" s="454">
        <v>0</v>
      </c>
      <c r="F726" s="145">
        <v>0</v>
      </c>
      <c r="G726" s="143" t="e">
        <f t="shared" si="60"/>
        <v>#DIV/0!</v>
      </c>
      <c r="H726" s="144" t="e">
        <f t="shared" si="61"/>
        <v>#DIV/0!</v>
      </c>
      <c r="I726" s="144">
        <f>F726/F727</f>
        <v>0</v>
      </c>
    </row>
    <row r="727" spans="1:9" s="17" customFormat="1" ht="16.5" customHeight="1" x14ac:dyDescent="0.2">
      <c r="A727" s="146"/>
      <c r="B727" s="718" t="s">
        <v>192</v>
      </c>
      <c r="C727" s="719"/>
      <c r="D727" s="386">
        <f>SUM(D721:D726)</f>
        <v>3075769.3900000006</v>
      </c>
      <c r="E727" s="386">
        <f>SUM(E721:E726)</f>
        <v>5236363.04</v>
      </c>
      <c r="F727" s="386">
        <f t="shared" ref="F727" si="62">SUM(F721:F726)</f>
        <v>3772288.7299999995</v>
      </c>
      <c r="G727" s="148">
        <f t="shared" si="60"/>
        <v>1.2264536939162396</v>
      </c>
      <c r="H727" s="137">
        <f t="shared" si="61"/>
        <v>0.72040244367777817</v>
      </c>
      <c r="I727" s="137">
        <f>SUM(I721:I725)</f>
        <v>1</v>
      </c>
    </row>
    <row r="728" spans="1:9" s="17" customFormat="1" ht="16.5" customHeight="1" x14ac:dyDescent="0.2">
      <c r="A728" s="21"/>
      <c r="B728" s="21"/>
      <c r="C728" s="21"/>
      <c r="D728" s="21"/>
      <c r="E728" s="21"/>
      <c r="F728" s="21"/>
      <c r="G728" s="21"/>
      <c r="H728" s="21"/>
    </row>
    <row r="729" spans="1:9" s="17" customFormat="1" ht="16.5" customHeight="1" x14ac:dyDescent="0.2">
      <c r="A729" s="823" t="s">
        <v>654</v>
      </c>
      <c r="B729" s="823"/>
      <c r="C729" s="823"/>
      <c r="D729" s="823"/>
      <c r="E729" s="823"/>
      <c r="F729" s="823"/>
      <c r="G729" s="823"/>
      <c r="H729" s="823"/>
      <c r="I729" s="823"/>
    </row>
    <row r="730" spans="1:9" s="17" customFormat="1" ht="16.5" customHeight="1" x14ac:dyDescent="0.2">
      <c r="A730" s="823" t="s">
        <v>655</v>
      </c>
      <c r="B730" s="823"/>
      <c r="C730" s="823"/>
      <c r="D730" s="823"/>
      <c r="E730" s="823"/>
      <c r="F730" s="823"/>
      <c r="G730" s="823"/>
      <c r="H730" s="823"/>
      <c r="I730" s="823"/>
    </row>
    <row r="731" spans="1:9" s="17" customFormat="1" ht="16.5" customHeight="1" x14ac:dyDescent="0.2">
      <c r="A731" s="823"/>
      <c r="B731" s="823"/>
      <c r="C731" s="823"/>
      <c r="D731" s="823"/>
      <c r="E731" s="823"/>
      <c r="F731" s="823"/>
      <c r="G731" s="823"/>
      <c r="H731" s="823"/>
      <c r="I731" s="823"/>
    </row>
    <row r="732" spans="1:9" s="17" customFormat="1" ht="16.5" customHeight="1" x14ac:dyDescent="0.2">
      <c r="A732" s="714" t="s">
        <v>408</v>
      </c>
      <c r="B732" s="714"/>
      <c r="C732" s="714"/>
      <c r="D732" s="714"/>
      <c r="E732" s="714"/>
      <c r="F732" s="714"/>
      <c r="G732" s="714"/>
      <c r="H732" s="714"/>
      <c r="I732" s="714"/>
    </row>
    <row r="733" spans="1:9" s="17" customFormat="1" ht="16.5" customHeight="1" x14ac:dyDescent="0.2">
      <c r="A733" s="714" t="s">
        <v>656</v>
      </c>
      <c r="B733" s="714"/>
      <c r="C733" s="714"/>
      <c r="D733" s="714"/>
      <c r="E733" s="714"/>
      <c r="F733" s="714"/>
      <c r="G733" s="714"/>
      <c r="H733" s="714"/>
      <c r="I733" s="714"/>
    </row>
    <row r="734" spans="1:9" s="17" customFormat="1" ht="16.5" customHeight="1" x14ac:dyDescent="0.2">
      <c r="A734" s="523"/>
      <c r="B734" s="523"/>
      <c r="C734" s="523"/>
      <c r="D734" s="523"/>
      <c r="E734" s="701" t="s">
        <v>85</v>
      </c>
      <c r="F734" s="523"/>
      <c r="G734" s="523"/>
      <c r="H734" s="523"/>
      <c r="I734" s="523"/>
    </row>
    <row r="735" spans="1:9" s="17" customFormat="1" ht="16.5" customHeight="1" x14ac:dyDescent="0.2">
      <c r="A735" s="537"/>
      <c r="B735" s="164"/>
      <c r="C735" s="15"/>
      <c r="D735" s="523"/>
      <c r="E735" s="746"/>
      <c r="F735" s="523"/>
      <c r="G735" s="164"/>
      <c r="H735" s="537"/>
      <c r="I735" s="537"/>
    </row>
    <row r="736" spans="1:9" s="17" customFormat="1" ht="16.5" customHeight="1" x14ac:dyDescent="0.2">
      <c r="A736" s="557" t="s">
        <v>48</v>
      </c>
      <c r="B736" s="702" t="s">
        <v>151</v>
      </c>
      <c r="C736" s="703"/>
      <c r="D736" s="380" t="s">
        <v>86</v>
      </c>
      <c r="E736" s="530" t="s">
        <v>152</v>
      </c>
      <c r="F736" s="40" t="s">
        <v>87</v>
      </c>
      <c r="G736" s="706" t="s">
        <v>52</v>
      </c>
      <c r="H736" s="707"/>
      <c r="I736" s="708" t="s">
        <v>53</v>
      </c>
    </row>
    <row r="737" spans="1:9" s="17" customFormat="1" ht="16.5" customHeight="1" x14ac:dyDescent="0.2">
      <c r="A737" s="574" t="s">
        <v>88</v>
      </c>
      <c r="B737" s="704"/>
      <c r="C737" s="705"/>
      <c r="D737" s="381" t="s">
        <v>541</v>
      </c>
      <c r="E737" s="41" t="s">
        <v>573</v>
      </c>
      <c r="F737" s="41" t="s">
        <v>607</v>
      </c>
      <c r="G737" s="24" t="s">
        <v>55</v>
      </c>
      <c r="H737" s="24" t="s">
        <v>56</v>
      </c>
      <c r="I737" s="709"/>
    </row>
    <row r="738" spans="1:9" s="17" customFormat="1" ht="16.5" customHeight="1" x14ac:dyDescent="0.2">
      <c r="A738" s="197">
        <v>1</v>
      </c>
      <c r="B738" s="807">
        <v>2</v>
      </c>
      <c r="C738" s="808"/>
      <c r="D738" s="152">
        <v>3</v>
      </c>
      <c r="E738" s="153">
        <v>4</v>
      </c>
      <c r="F738" s="153">
        <v>5</v>
      </c>
      <c r="G738" s="153">
        <v>6</v>
      </c>
      <c r="H738" s="153">
        <v>7</v>
      </c>
      <c r="I738" s="154">
        <v>8</v>
      </c>
    </row>
    <row r="739" spans="1:9" s="17" customFormat="1" ht="16.5" customHeight="1" x14ac:dyDescent="0.2">
      <c r="A739" s="198">
        <v>1310</v>
      </c>
      <c r="B739" s="790" t="s">
        <v>201</v>
      </c>
      <c r="C739" s="791"/>
      <c r="D739" s="147">
        <f>D740+D741+D742+D743+D744+D745+D746+D747</f>
        <v>32218.42</v>
      </c>
      <c r="E739" s="147">
        <f>E740+E741+E742+E743+E744+E745+E746+E747</f>
        <v>43000</v>
      </c>
      <c r="F739" s="448">
        <f>F740+F741+F742+F743+F744+F745+F746+F747</f>
        <v>30890.67</v>
      </c>
      <c r="G739" s="169">
        <f t="shared" ref="G739:G756" si="63">F739/D739</f>
        <v>0.95878910263135186</v>
      </c>
      <c r="H739" s="174">
        <f t="shared" ref="H739:H756" si="64">F739/E739</f>
        <v>0.71838767441860463</v>
      </c>
      <c r="I739" s="137">
        <f>F739/F841</f>
        <v>8.1888403065053829E-3</v>
      </c>
    </row>
    <row r="740" spans="1:9" s="17" customFormat="1" ht="16.5" customHeight="1" x14ac:dyDescent="0.2">
      <c r="A740" s="536">
        <v>13130</v>
      </c>
      <c r="B740" s="799" t="s">
        <v>202</v>
      </c>
      <c r="C740" s="800"/>
      <c r="D740" s="199">
        <v>0</v>
      </c>
      <c r="E740" s="499">
        <v>5000</v>
      </c>
      <c r="F740" s="199">
        <v>0</v>
      </c>
      <c r="G740" s="143" t="e">
        <f t="shared" si="63"/>
        <v>#DIV/0!</v>
      </c>
      <c r="H740" s="144">
        <f t="shared" si="64"/>
        <v>0</v>
      </c>
      <c r="I740" s="144">
        <f>F740/F739</f>
        <v>0</v>
      </c>
    </row>
    <row r="741" spans="1:9" s="17" customFormat="1" ht="16.5" customHeight="1" x14ac:dyDescent="0.2">
      <c r="A741" s="536">
        <v>13131</v>
      </c>
      <c r="B741" s="200" t="s">
        <v>203</v>
      </c>
      <c r="C741" s="201"/>
      <c r="D741" s="199">
        <v>0</v>
      </c>
      <c r="E741" s="499">
        <v>0</v>
      </c>
      <c r="F741" s="199">
        <v>0</v>
      </c>
      <c r="G741" s="143" t="e">
        <f t="shared" si="63"/>
        <v>#DIV/0!</v>
      </c>
      <c r="H741" s="144" t="e">
        <f t="shared" si="64"/>
        <v>#DIV/0!</v>
      </c>
      <c r="I741" s="144">
        <f>F741/F739</f>
        <v>0</v>
      </c>
    </row>
    <row r="742" spans="1:9" s="17" customFormat="1" ht="16.5" customHeight="1" x14ac:dyDescent="0.2">
      <c r="A742" s="536">
        <v>13132</v>
      </c>
      <c r="B742" s="200" t="s">
        <v>204</v>
      </c>
      <c r="C742" s="201"/>
      <c r="D742" s="199">
        <v>0</v>
      </c>
      <c r="E742" s="499">
        <v>0</v>
      </c>
      <c r="F742" s="199">
        <v>0</v>
      </c>
      <c r="G742" s="143" t="e">
        <f t="shared" si="63"/>
        <v>#DIV/0!</v>
      </c>
      <c r="H742" s="144" t="e">
        <f t="shared" si="64"/>
        <v>#DIV/0!</v>
      </c>
      <c r="I742" s="144">
        <f>F742/F739</f>
        <v>0</v>
      </c>
    </row>
    <row r="743" spans="1:9" s="17" customFormat="1" ht="16.5" customHeight="1" x14ac:dyDescent="0.2">
      <c r="A743" s="536">
        <v>13133</v>
      </c>
      <c r="B743" s="799" t="s">
        <v>409</v>
      </c>
      <c r="C743" s="800"/>
      <c r="D743" s="199">
        <v>2833.53</v>
      </c>
      <c r="E743" s="499">
        <v>0</v>
      </c>
      <c r="F743" s="199">
        <v>0</v>
      </c>
      <c r="G743" s="143">
        <f t="shared" si="63"/>
        <v>0</v>
      </c>
      <c r="H743" s="144" t="e">
        <f t="shared" si="64"/>
        <v>#DIV/0!</v>
      </c>
      <c r="I743" s="144">
        <f>F743/F739</f>
        <v>0</v>
      </c>
    </row>
    <row r="744" spans="1:9" s="17" customFormat="1" ht="16.5" customHeight="1" x14ac:dyDescent="0.2">
      <c r="A744" s="536">
        <v>13140</v>
      </c>
      <c r="B744" s="799" t="s">
        <v>205</v>
      </c>
      <c r="C744" s="800"/>
      <c r="D744" s="199">
        <v>1936.76</v>
      </c>
      <c r="E744" s="499">
        <v>31500</v>
      </c>
      <c r="F744" s="199">
        <v>8693.25</v>
      </c>
      <c r="G744" s="143">
        <f t="shared" si="63"/>
        <v>4.488553047357442</v>
      </c>
      <c r="H744" s="144">
        <f t="shared" si="64"/>
        <v>0.27597619047619049</v>
      </c>
      <c r="I744" s="144">
        <f>F744/F739</f>
        <v>0.28141992387992881</v>
      </c>
    </row>
    <row r="745" spans="1:9" s="17" customFormat="1" ht="16.5" customHeight="1" x14ac:dyDescent="0.2">
      <c r="A745" s="536">
        <v>13141</v>
      </c>
      <c r="B745" s="799" t="s">
        <v>206</v>
      </c>
      <c r="C745" s="800"/>
      <c r="D745" s="199">
        <v>2144</v>
      </c>
      <c r="E745" s="499">
        <v>0</v>
      </c>
      <c r="F745" s="199">
        <v>6116.4</v>
      </c>
      <c r="G745" s="143">
        <f t="shared" si="63"/>
        <v>2.8527985074626865</v>
      </c>
      <c r="H745" s="144" t="e">
        <f t="shared" si="64"/>
        <v>#DIV/0!</v>
      </c>
      <c r="I745" s="144">
        <f>F745/F739</f>
        <v>0.19800153250156116</v>
      </c>
    </row>
    <row r="746" spans="1:9" s="17" customFormat="1" ht="16.5" customHeight="1" x14ac:dyDescent="0.2">
      <c r="A746" s="536">
        <v>13142</v>
      </c>
      <c r="B746" s="799" t="s">
        <v>410</v>
      </c>
      <c r="C746" s="800"/>
      <c r="D746" s="199">
        <v>6234.53</v>
      </c>
      <c r="E746" s="499">
        <v>6500</v>
      </c>
      <c r="F746" s="199">
        <v>11245.66</v>
      </c>
      <c r="G746" s="143">
        <f t="shared" si="63"/>
        <v>1.8037702922273211</v>
      </c>
      <c r="H746" s="144">
        <f t="shared" si="64"/>
        <v>1.7301015384615384</v>
      </c>
      <c r="I746" s="144">
        <f>F746/F739</f>
        <v>0.36404713785748255</v>
      </c>
    </row>
    <row r="747" spans="1:9" s="17" customFormat="1" ht="16.5" customHeight="1" x14ac:dyDescent="0.2">
      <c r="A747" s="536">
        <v>13143</v>
      </c>
      <c r="B747" s="799" t="s">
        <v>448</v>
      </c>
      <c r="C747" s="800"/>
      <c r="D747" s="199">
        <v>19069.599999999999</v>
      </c>
      <c r="E747" s="499">
        <v>0</v>
      </c>
      <c r="F747" s="199">
        <v>4835.3599999999997</v>
      </c>
      <c r="G747" s="143">
        <f t="shared" si="63"/>
        <v>0.2535637873893527</v>
      </c>
      <c r="H747" s="144" t="e">
        <f t="shared" si="64"/>
        <v>#DIV/0!</v>
      </c>
      <c r="I747" s="144">
        <f>F747/F739</f>
        <v>0.15653140576102753</v>
      </c>
    </row>
    <row r="748" spans="1:9" s="17" customFormat="1" ht="16.5" customHeight="1" x14ac:dyDescent="0.2">
      <c r="A748" s="552">
        <v>1330</v>
      </c>
      <c r="B748" s="790" t="s">
        <v>207</v>
      </c>
      <c r="C748" s="791"/>
      <c r="D748" s="202">
        <f>D749+D750+D751</f>
        <v>38798.85</v>
      </c>
      <c r="E748" s="202">
        <f>E749+E750+E751</f>
        <v>61700</v>
      </c>
      <c r="F748" s="457">
        <f>F749+F750+F751</f>
        <v>38483.460000000006</v>
      </c>
      <c r="G748" s="148">
        <f t="shared" si="63"/>
        <v>0.99187115082019206</v>
      </c>
      <c r="H748" s="137">
        <f t="shared" si="64"/>
        <v>0.62371896272285265</v>
      </c>
      <c r="I748" s="137">
        <f>F748/F841</f>
        <v>1.0201621019608434E-2</v>
      </c>
    </row>
    <row r="749" spans="1:9" s="17" customFormat="1" ht="16.5" customHeight="1" x14ac:dyDescent="0.2">
      <c r="A749" s="536">
        <v>13310</v>
      </c>
      <c r="B749" s="799" t="s">
        <v>208</v>
      </c>
      <c r="C749" s="800"/>
      <c r="D749" s="199">
        <v>0</v>
      </c>
      <c r="E749" s="499">
        <v>10000</v>
      </c>
      <c r="F749" s="199">
        <v>0</v>
      </c>
      <c r="G749" s="143" t="e">
        <f t="shared" si="63"/>
        <v>#DIV/0!</v>
      </c>
      <c r="H749" s="144">
        <f t="shared" si="64"/>
        <v>0</v>
      </c>
      <c r="I749" s="144">
        <f>F749/F748</f>
        <v>0</v>
      </c>
    </row>
    <row r="750" spans="1:9" s="17" customFormat="1" ht="16.5" customHeight="1" x14ac:dyDescent="0.2">
      <c r="A750" s="536">
        <v>13320</v>
      </c>
      <c r="B750" s="799" t="s">
        <v>209</v>
      </c>
      <c r="C750" s="800"/>
      <c r="D750" s="199">
        <v>17478.71</v>
      </c>
      <c r="E750" s="499">
        <v>24000</v>
      </c>
      <c r="F750" s="199">
        <v>19949.97</v>
      </c>
      <c r="G750" s="143">
        <f t="shared" si="63"/>
        <v>1.1413868643624159</v>
      </c>
      <c r="H750" s="144">
        <f t="shared" si="64"/>
        <v>0.83124875000000009</v>
      </c>
      <c r="I750" s="144">
        <f>F750/F748</f>
        <v>0.5184037505983089</v>
      </c>
    </row>
    <row r="751" spans="1:9" s="17" customFormat="1" ht="16.5" customHeight="1" x14ac:dyDescent="0.2">
      <c r="A751" s="536">
        <v>13330</v>
      </c>
      <c r="B751" s="799" t="s">
        <v>210</v>
      </c>
      <c r="C751" s="800"/>
      <c r="D751" s="199">
        <v>21320.14</v>
      </c>
      <c r="E751" s="499">
        <v>27700</v>
      </c>
      <c r="F751" s="199">
        <v>18533.490000000002</v>
      </c>
      <c r="G751" s="143">
        <f t="shared" si="63"/>
        <v>0.86929494834461696</v>
      </c>
      <c r="H751" s="144">
        <f t="shared" si="64"/>
        <v>0.66907906137184125</v>
      </c>
      <c r="I751" s="144">
        <f>F751/F748</f>
        <v>0.48159624940169099</v>
      </c>
    </row>
    <row r="752" spans="1:9" s="17" customFormat="1" ht="16.5" customHeight="1" x14ac:dyDescent="0.2">
      <c r="A752" s="552">
        <v>1340</v>
      </c>
      <c r="B752" s="790" t="s">
        <v>211</v>
      </c>
      <c r="C752" s="791"/>
      <c r="D752" s="147">
        <f>D753+D754+D755+D756+D757+D760+D761+D762+D763+D764</f>
        <v>1544536.99</v>
      </c>
      <c r="E752" s="147">
        <f>E753+E754+E755+E756+E757+E760+E761+E762+E763+E764</f>
        <v>2456500</v>
      </c>
      <c r="F752" s="448">
        <f>F753+F754+F755+F756+F757+F760+F761+F762+F763+F764</f>
        <v>1610407.7</v>
      </c>
      <c r="G752" s="148">
        <f t="shared" si="63"/>
        <v>1.0426475444916343</v>
      </c>
      <c r="H752" s="137">
        <f t="shared" si="64"/>
        <v>0.65556999796458371</v>
      </c>
      <c r="I752" s="137">
        <f>F752/F841</f>
        <v>0.4269046765145148</v>
      </c>
    </row>
    <row r="753" spans="1:9" s="17" customFormat="1" ht="16.5" customHeight="1" x14ac:dyDescent="0.2">
      <c r="A753" s="536">
        <v>13410</v>
      </c>
      <c r="B753" s="799" t="s">
        <v>212</v>
      </c>
      <c r="C753" s="800"/>
      <c r="D753" s="199">
        <v>0</v>
      </c>
      <c r="E753" s="499">
        <v>5000</v>
      </c>
      <c r="F753" s="199">
        <v>2640</v>
      </c>
      <c r="G753" s="86" t="e">
        <f t="shared" si="63"/>
        <v>#DIV/0!</v>
      </c>
      <c r="H753" s="87">
        <f t="shared" si="64"/>
        <v>0.52800000000000002</v>
      </c>
      <c r="I753" s="87">
        <f>F753/F752</f>
        <v>1.6393364239378637E-3</v>
      </c>
    </row>
    <row r="754" spans="1:9" s="17" customFormat="1" ht="16.5" customHeight="1" x14ac:dyDescent="0.2">
      <c r="A754" s="536">
        <v>13420</v>
      </c>
      <c r="B754" s="799" t="s">
        <v>213</v>
      </c>
      <c r="C754" s="800"/>
      <c r="D754" s="199">
        <v>10062</v>
      </c>
      <c r="E754" s="500">
        <v>25000</v>
      </c>
      <c r="F754" s="199">
        <v>49190.2</v>
      </c>
      <c r="G754" s="86">
        <f t="shared" si="63"/>
        <v>4.888709998012323</v>
      </c>
      <c r="H754" s="87">
        <f t="shared" si="64"/>
        <v>1.9676079999999998</v>
      </c>
      <c r="I754" s="87">
        <f>F754/F752</f>
        <v>3.05451843033289E-2</v>
      </c>
    </row>
    <row r="755" spans="1:9" s="17" customFormat="1" ht="16.5" customHeight="1" x14ac:dyDescent="0.2">
      <c r="A755" s="536">
        <v>13430</v>
      </c>
      <c r="B755" s="716" t="s">
        <v>214</v>
      </c>
      <c r="C755" s="717"/>
      <c r="D755" s="199">
        <v>0</v>
      </c>
      <c r="E755" s="500">
        <v>0</v>
      </c>
      <c r="F755" s="199">
        <v>0</v>
      </c>
      <c r="G755" s="86" t="e">
        <f t="shared" si="63"/>
        <v>#DIV/0!</v>
      </c>
      <c r="H755" s="87" t="e">
        <f t="shared" si="64"/>
        <v>#DIV/0!</v>
      </c>
      <c r="I755" s="87">
        <f>F755/F752</f>
        <v>0</v>
      </c>
    </row>
    <row r="756" spans="1:9" s="17" customFormat="1" ht="16.5" customHeight="1" x14ac:dyDescent="0.2">
      <c r="A756" s="536">
        <v>13440</v>
      </c>
      <c r="B756" s="716" t="s">
        <v>411</v>
      </c>
      <c r="C756" s="717"/>
      <c r="D756" s="199">
        <v>700</v>
      </c>
      <c r="E756" s="500">
        <v>5000</v>
      </c>
      <c r="F756" s="199">
        <v>8810.92</v>
      </c>
      <c r="G756" s="86">
        <f t="shared" si="63"/>
        <v>12.587028571428572</v>
      </c>
      <c r="H756" s="87">
        <f t="shared" si="64"/>
        <v>1.762184</v>
      </c>
      <c r="I756" s="87">
        <f>F756/F752</f>
        <v>5.4712356380312889E-3</v>
      </c>
    </row>
    <row r="757" spans="1:9" s="17" customFormat="1" ht="16.5" customHeight="1" x14ac:dyDescent="0.2">
      <c r="A757" s="631">
        <v>13445</v>
      </c>
      <c r="B757" s="716" t="s">
        <v>586</v>
      </c>
      <c r="C757" s="717"/>
      <c r="D757" s="199">
        <v>0</v>
      </c>
      <c r="E757" s="500">
        <v>9500</v>
      </c>
      <c r="F757" s="643">
        <v>2159.6999999999998</v>
      </c>
      <c r="G757" s="86" t="e">
        <f>F757/D757</f>
        <v>#DIV/0!</v>
      </c>
      <c r="H757" s="87">
        <f>F757/E757</f>
        <v>0.22733684210526314</v>
      </c>
      <c r="I757" s="87">
        <f>F757/F752</f>
        <v>1.3410889677191681E-3</v>
      </c>
    </row>
    <row r="758" spans="1:9" s="17" customFormat="1" ht="16.5" customHeight="1" x14ac:dyDescent="0.2"/>
    <row r="759" spans="1:9" s="17" customFormat="1" ht="16.5" customHeight="1" x14ac:dyDescent="0.2">
      <c r="I759" s="409"/>
    </row>
    <row r="760" spans="1:9" s="17" customFormat="1" ht="16.5" customHeight="1" x14ac:dyDescent="0.2">
      <c r="A760" s="536">
        <v>13450</v>
      </c>
      <c r="B760" s="716" t="s">
        <v>215</v>
      </c>
      <c r="C760" s="717"/>
      <c r="D760" s="199">
        <v>1945</v>
      </c>
      <c r="E760" s="644">
        <v>16000</v>
      </c>
      <c r="F760" s="199">
        <v>987.25</v>
      </c>
      <c r="G760" s="86">
        <f t="shared" ref="G760:G765" si="65">F760/D760</f>
        <v>0.50758354755784063</v>
      </c>
      <c r="H760" s="87">
        <f>F760/E760</f>
        <v>6.1703124999999998E-2</v>
      </c>
      <c r="I760" s="87">
        <f>F760/F752</f>
        <v>6.1304351686843029E-4</v>
      </c>
    </row>
    <row r="761" spans="1:9" s="17" customFormat="1" ht="16.5" customHeight="1" x14ac:dyDescent="0.2">
      <c r="A761" s="536">
        <v>13460</v>
      </c>
      <c r="B761" s="716" t="s">
        <v>216</v>
      </c>
      <c r="C761" s="717"/>
      <c r="D761" s="199">
        <v>1506012.6</v>
      </c>
      <c r="E761" s="500">
        <v>2100500</v>
      </c>
      <c r="F761" s="199">
        <v>1407391.69</v>
      </c>
      <c r="G761" s="86">
        <f t="shared" si="65"/>
        <v>0.9345152158753518</v>
      </c>
      <c r="H761" s="87">
        <f>F761/E761</f>
        <v>0.67002698881218758</v>
      </c>
      <c r="I761" s="87">
        <f>F761/F752</f>
        <v>0.87393502278957058</v>
      </c>
    </row>
    <row r="762" spans="1:9" s="17" customFormat="1" ht="16.5" customHeight="1" x14ac:dyDescent="0.2">
      <c r="A762" s="536">
        <v>13470</v>
      </c>
      <c r="B762" s="716" t="s">
        <v>217</v>
      </c>
      <c r="C762" s="717"/>
      <c r="D762" s="199">
        <v>6604.89</v>
      </c>
      <c r="E762" s="500">
        <v>0</v>
      </c>
      <c r="F762" s="199">
        <v>3141.14</v>
      </c>
      <c r="G762" s="86">
        <f t="shared" si="65"/>
        <v>0.47557794300889183</v>
      </c>
      <c r="H762" s="87" t="e">
        <f>F762/E762</f>
        <v>#DIV/0!</v>
      </c>
      <c r="I762" s="87">
        <f>F762/F752</f>
        <v>1.9505247025334018E-3</v>
      </c>
    </row>
    <row r="763" spans="1:9" s="17" customFormat="1" ht="16.5" customHeight="1" x14ac:dyDescent="0.2">
      <c r="A763" s="622">
        <v>13475</v>
      </c>
      <c r="B763" s="626" t="s">
        <v>587</v>
      </c>
      <c r="C763" s="628"/>
      <c r="D763" s="642">
        <v>0</v>
      </c>
      <c r="E763" s="500">
        <v>270500</v>
      </c>
      <c r="F763" s="669">
        <v>113120.7</v>
      </c>
      <c r="G763" s="86" t="e">
        <f t="shared" si="65"/>
        <v>#DIV/0!</v>
      </c>
      <c r="H763" s="87">
        <f>F763/E763</f>
        <v>0.41819112754158966</v>
      </c>
      <c r="I763" s="87">
        <f>F763/F752</f>
        <v>7.0243516595207542E-2</v>
      </c>
    </row>
    <row r="764" spans="1:9" s="17" customFormat="1" ht="16.5" customHeight="1" x14ac:dyDescent="0.2">
      <c r="A764" s="536">
        <v>13480</v>
      </c>
      <c r="B764" s="716" t="s">
        <v>218</v>
      </c>
      <c r="C764" s="717"/>
      <c r="D764" s="199">
        <v>19212.5</v>
      </c>
      <c r="E764" s="500">
        <v>25000</v>
      </c>
      <c r="F764" s="199">
        <v>22966.1</v>
      </c>
      <c r="G764" s="86">
        <f t="shared" si="65"/>
        <v>1.1953728041639557</v>
      </c>
      <c r="H764" s="87">
        <f>F764/E764</f>
        <v>0.91864399999999991</v>
      </c>
      <c r="I764" s="87">
        <f>F764/F752</f>
        <v>1.4261047062802791E-2</v>
      </c>
    </row>
    <row r="765" spans="1:9" s="17" customFormat="1" ht="16.5" customHeight="1" x14ac:dyDescent="0.2">
      <c r="A765" s="552">
        <v>1350</v>
      </c>
      <c r="B765" s="790" t="s">
        <v>219</v>
      </c>
      <c r="C765" s="791"/>
      <c r="D765" s="147">
        <f>D766+D767+D768+D769+D770+D771+D772+D773</f>
        <v>58590.93</v>
      </c>
      <c r="E765" s="204">
        <f>E766+E767+E768+E769+E770+E771+E772+E773</f>
        <v>52900</v>
      </c>
      <c r="F765" s="448">
        <f>F766+F767+F768+F769+F770+F771+F772+F773</f>
        <v>76111.070000000007</v>
      </c>
      <c r="G765" s="148">
        <f t="shared" si="65"/>
        <v>1.2990247807979838</v>
      </c>
      <c r="H765" s="148">
        <f>G765/E765</f>
        <v>2.4556234041549789E-5</v>
      </c>
      <c r="I765" s="137">
        <f>F765/F841</f>
        <v>2.0176363859613685E-2</v>
      </c>
    </row>
    <row r="766" spans="1:9" s="17" customFormat="1" ht="16.5" customHeight="1" x14ac:dyDescent="0.3">
      <c r="A766" s="536">
        <v>13501</v>
      </c>
      <c r="B766" s="799" t="s">
        <v>220</v>
      </c>
      <c r="C766" s="800"/>
      <c r="D766" s="199">
        <v>2351</v>
      </c>
      <c r="E766" s="501">
        <v>20000</v>
      </c>
      <c r="F766" s="199">
        <v>4988</v>
      </c>
      <c r="G766" s="86">
        <f t="shared" ref="G766:G810" si="66">F766/D766</f>
        <v>2.1216503615482774</v>
      </c>
      <c r="H766" s="87">
        <f t="shared" ref="H766:H794" si="67">F766/E766</f>
        <v>0.24940000000000001</v>
      </c>
      <c r="I766" s="87">
        <f>F766/F765</f>
        <v>6.5535801822257919E-2</v>
      </c>
    </row>
    <row r="767" spans="1:9" s="17" customFormat="1" ht="16.5" customHeight="1" x14ac:dyDescent="0.3">
      <c r="A767" s="536">
        <v>13502</v>
      </c>
      <c r="B767" s="799" t="s">
        <v>221</v>
      </c>
      <c r="C767" s="800"/>
      <c r="D767" s="199">
        <v>0</v>
      </c>
      <c r="E767" s="501">
        <v>0</v>
      </c>
      <c r="F767" s="199">
        <v>0</v>
      </c>
      <c r="G767" s="86" t="e">
        <f t="shared" si="66"/>
        <v>#DIV/0!</v>
      </c>
      <c r="H767" s="87" t="e">
        <f t="shared" si="67"/>
        <v>#DIV/0!</v>
      </c>
      <c r="I767" s="87">
        <f>F767/F765</f>
        <v>0</v>
      </c>
    </row>
    <row r="768" spans="1:9" s="17" customFormat="1" ht="16.5" customHeight="1" x14ac:dyDescent="0.3">
      <c r="A768" s="536">
        <v>13503</v>
      </c>
      <c r="B768" s="799" t="s">
        <v>222</v>
      </c>
      <c r="C768" s="800"/>
      <c r="D768" s="199">
        <v>29287</v>
      </c>
      <c r="E768" s="501">
        <v>0</v>
      </c>
      <c r="F768" s="199">
        <v>2585</v>
      </c>
      <c r="G768" s="86">
        <f t="shared" si="66"/>
        <v>8.8264417659712505E-2</v>
      </c>
      <c r="H768" s="87" t="e">
        <f t="shared" si="67"/>
        <v>#DIV/0!</v>
      </c>
      <c r="I768" s="87">
        <f>F768/F765</f>
        <v>3.3963521994895086E-2</v>
      </c>
    </row>
    <row r="769" spans="1:9" s="17" customFormat="1" ht="16.5" customHeight="1" x14ac:dyDescent="0.3">
      <c r="A769" s="536">
        <v>13504</v>
      </c>
      <c r="B769" s="799" t="s">
        <v>447</v>
      </c>
      <c r="C769" s="800"/>
      <c r="D769" s="199">
        <v>60</v>
      </c>
      <c r="E769" s="501">
        <v>0</v>
      </c>
      <c r="F769" s="199">
        <v>2415</v>
      </c>
      <c r="G769" s="86">
        <f t="shared" si="66"/>
        <v>40.25</v>
      </c>
      <c r="H769" s="87" t="e">
        <f t="shared" si="67"/>
        <v>#DIV/0!</v>
      </c>
      <c r="I769" s="87">
        <f>F769/F765</f>
        <v>3.1729944146101217E-2</v>
      </c>
    </row>
    <row r="770" spans="1:9" s="17" customFormat="1" ht="16.5" customHeight="1" x14ac:dyDescent="0.3">
      <c r="A770" s="536">
        <v>13505</v>
      </c>
      <c r="B770" s="799" t="s">
        <v>223</v>
      </c>
      <c r="C770" s="800"/>
      <c r="D770" s="199">
        <f t="shared" ref="D770:F772" si="68">0+0+0+0+0</f>
        <v>0</v>
      </c>
      <c r="E770" s="501">
        <v>0</v>
      </c>
      <c r="F770" s="199">
        <f t="shared" si="68"/>
        <v>0</v>
      </c>
      <c r="G770" s="86" t="e">
        <f t="shared" si="66"/>
        <v>#DIV/0!</v>
      </c>
      <c r="H770" s="87" t="e">
        <f t="shared" si="67"/>
        <v>#DIV/0!</v>
      </c>
      <c r="I770" s="87">
        <f>F770/F765</f>
        <v>0</v>
      </c>
    </row>
    <row r="771" spans="1:9" s="17" customFormat="1" ht="16.5" customHeight="1" x14ac:dyDescent="0.3">
      <c r="A771" s="536">
        <v>13506</v>
      </c>
      <c r="B771" s="799" t="s">
        <v>224</v>
      </c>
      <c r="C771" s="800"/>
      <c r="D771" s="199">
        <v>0</v>
      </c>
      <c r="E771" s="501">
        <v>0</v>
      </c>
      <c r="F771" s="199">
        <v>7710</v>
      </c>
      <c r="G771" s="86" t="e">
        <f t="shared" si="66"/>
        <v>#DIV/0!</v>
      </c>
      <c r="H771" s="87" t="e">
        <f t="shared" si="67"/>
        <v>#DIV/0!</v>
      </c>
      <c r="I771" s="87">
        <f>F771/F765</f>
        <v>0.10129932478941631</v>
      </c>
    </row>
    <row r="772" spans="1:9" s="17" customFormat="1" ht="16.5" customHeight="1" x14ac:dyDescent="0.3">
      <c r="A772" s="536">
        <v>13508</v>
      </c>
      <c r="B772" s="799" t="s">
        <v>225</v>
      </c>
      <c r="C772" s="800"/>
      <c r="D772" s="199">
        <f t="shared" si="68"/>
        <v>0</v>
      </c>
      <c r="E772" s="501">
        <v>0</v>
      </c>
      <c r="F772" s="199">
        <f t="shared" si="68"/>
        <v>0</v>
      </c>
      <c r="G772" s="86" t="e">
        <f t="shared" si="66"/>
        <v>#DIV/0!</v>
      </c>
      <c r="H772" s="87" t="e">
        <f t="shared" si="67"/>
        <v>#DIV/0!</v>
      </c>
      <c r="I772" s="87">
        <f>F772/F765</f>
        <v>0</v>
      </c>
    </row>
    <row r="773" spans="1:9" s="17" customFormat="1" ht="16.5" customHeight="1" x14ac:dyDescent="0.3">
      <c r="A773" s="536">
        <v>13509</v>
      </c>
      <c r="B773" s="799" t="s">
        <v>226</v>
      </c>
      <c r="C773" s="800"/>
      <c r="D773" s="199">
        <v>26892.93</v>
      </c>
      <c r="E773" s="501">
        <v>32900</v>
      </c>
      <c r="F773" s="199">
        <v>58413.07</v>
      </c>
      <c r="G773" s="86">
        <f t="shared" si="66"/>
        <v>2.1720604634749727</v>
      </c>
      <c r="H773" s="87">
        <f t="shared" si="67"/>
        <v>1.7754732522796353</v>
      </c>
      <c r="I773" s="87">
        <f>F773/F765</f>
        <v>0.76747140724732943</v>
      </c>
    </row>
    <row r="774" spans="1:9" s="17" customFormat="1" ht="16.5" customHeight="1" x14ac:dyDescent="0.2">
      <c r="A774" s="552">
        <v>1360</v>
      </c>
      <c r="B774" s="790" t="s">
        <v>227</v>
      </c>
      <c r="C774" s="791"/>
      <c r="D774" s="206">
        <f>D775+D776+D777+D778+D779+D780+D781+D782</f>
        <v>176770.18</v>
      </c>
      <c r="E774" s="206">
        <f>E775+E776+E777+E778+E779+E780+E781+E782</f>
        <v>454600</v>
      </c>
      <c r="F774" s="480">
        <f>F775+F776+F777+F778+F779+F780+F781+F782</f>
        <v>298581.52999999997</v>
      </c>
      <c r="G774" s="148">
        <f t="shared" si="66"/>
        <v>1.6890944502064771</v>
      </c>
      <c r="H774" s="137">
        <f t="shared" si="67"/>
        <v>0.65680054993400783</v>
      </c>
      <c r="I774" s="137">
        <f>F774/F841</f>
        <v>7.9151292854510627E-2</v>
      </c>
    </row>
    <row r="775" spans="1:9" s="17" customFormat="1" ht="16.5" customHeight="1" x14ac:dyDescent="0.3">
      <c r="A775" s="536">
        <v>13610</v>
      </c>
      <c r="B775" s="799" t="s">
        <v>228</v>
      </c>
      <c r="C775" s="800"/>
      <c r="D775" s="199">
        <v>37166.400000000001</v>
      </c>
      <c r="E775" s="501">
        <v>126100</v>
      </c>
      <c r="F775" s="199">
        <v>38711.74</v>
      </c>
      <c r="G775" s="86">
        <f t="shared" si="66"/>
        <v>1.0415789530328468</v>
      </c>
      <c r="H775" s="87">
        <f t="shared" si="67"/>
        <v>0.30699238699444881</v>
      </c>
      <c r="I775" s="87">
        <f>F775/F774</f>
        <v>0.12965215899322374</v>
      </c>
    </row>
    <row r="776" spans="1:9" s="17" customFormat="1" ht="16.5" customHeight="1" x14ac:dyDescent="0.3">
      <c r="A776" s="622">
        <v>13615</v>
      </c>
      <c r="B776" s="626" t="s">
        <v>588</v>
      </c>
      <c r="C776" s="627"/>
      <c r="D776" s="642">
        <v>0</v>
      </c>
      <c r="E776" s="501">
        <v>15500</v>
      </c>
      <c r="F776" s="199">
        <v>0</v>
      </c>
      <c r="G776" s="86" t="e">
        <f t="shared" si="66"/>
        <v>#DIV/0!</v>
      </c>
      <c r="H776" s="87">
        <f t="shared" si="67"/>
        <v>0</v>
      </c>
      <c r="I776" s="87">
        <f>F776/F774</f>
        <v>0</v>
      </c>
    </row>
    <row r="777" spans="1:9" s="17" customFormat="1" ht="16.5" customHeight="1" x14ac:dyDescent="0.3">
      <c r="A777" s="536">
        <v>13620</v>
      </c>
      <c r="B777" s="799" t="s">
        <v>412</v>
      </c>
      <c r="C777" s="800"/>
      <c r="D777" s="199">
        <v>43557.98</v>
      </c>
      <c r="E777" s="501">
        <v>111000</v>
      </c>
      <c r="F777" s="199">
        <v>41219.29</v>
      </c>
      <c r="G777" s="86">
        <f t="shared" si="66"/>
        <v>0.94630857537470736</v>
      </c>
      <c r="H777" s="87">
        <f t="shared" si="67"/>
        <v>0.37134495495495495</v>
      </c>
      <c r="I777" s="87">
        <f>F777/F774</f>
        <v>0.13805036768349338</v>
      </c>
    </row>
    <row r="778" spans="1:9" s="17" customFormat="1" ht="16.5" customHeight="1" x14ac:dyDescent="0.3">
      <c r="A778" s="536">
        <v>13630</v>
      </c>
      <c r="B778" s="799" t="s">
        <v>229</v>
      </c>
      <c r="C778" s="800"/>
      <c r="D778" s="199">
        <v>34415.699999999997</v>
      </c>
      <c r="E778" s="501">
        <v>90000</v>
      </c>
      <c r="F778" s="199">
        <v>135295.96</v>
      </c>
      <c r="G778" s="86">
        <f t="shared" si="66"/>
        <v>3.9312278988949814</v>
      </c>
      <c r="H778" s="87">
        <f t="shared" si="67"/>
        <v>1.5032884444444443</v>
      </c>
      <c r="I778" s="87">
        <f>F778/F774</f>
        <v>0.45312903313208958</v>
      </c>
    </row>
    <row r="779" spans="1:9" s="17" customFormat="1" ht="16.5" customHeight="1" x14ac:dyDescent="0.3">
      <c r="A779" s="106">
        <v>13640</v>
      </c>
      <c r="B779" s="799" t="s">
        <v>230</v>
      </c>
      <c r="C779" s="800"/>
      <c r="D779" s="199">
        <v>50304.6</v>
      </c>
      <c r="E779" s="502">
        <v>96000</v>
      </c>
      <c r="F779" s="199">
        <v>61011.24</v>
      </c>
      <c r="G779" s="86">
        <f t="shared" si="66"/>
        <v>1.2128362018582795</v>
      </c>
      <c r="H779" s="87">
        <f t="shared" si="67"/>
        <v>0.63553375000000001</v>
      </c>
      <c r="I779" s="87">
        <f>F779/F774</f>
        <v>0.20433695279142017</v>
      </c>
    </row>
    <row r="780" spans="1:9" s="17" customFormat="1" ht="16.5" customHeight="1" x14ac:dyDescent="0.3">
      <c r="A780" s="106">
        <v>13650</v>
      </c>
      <c r="B780" s="799" t="s">
        <v>231</v>
      </c>
      <c r="C780" s="800"/>
      <c r="D780" s="199">
        <v>0</v>
      </c>
      <c r="E780" s="502">
        <v>10000</v>
      </c>
      <c r="F780" s="199">
        <v>12050</v>
      </c>
      <c r="G780" s="86" t="e">
        <f t="shared" si="66"/>
        <v>#DIV/0!</v>
      </c>
      <c r="H780" s="87">
        <f t="shared" si="67"/>
        <v>1.2050000000000001</v>
      </c>
      <c r="I780" s="87">
        <f>F780/F774</f>
        <v>4.0357486278538399E-2</v>
      </c>
    </row>
    <row r="781" spans="1:9" s="17" customFormat="1" ht="16.5" customHeight="1" x14ac:dyDescent="0.3">
      <c r="A781" s="207">
        <v>13660</v>
      </c>
      <c r="B781" s="821" t="s">
        <v>657</v>
      </c>
      <c r="C781" s="822"/>
      <c r="D781" s="199">
        <v>11325.5</v>
      </c>
      <c r="E781" s="502">
        <v>5000</v>
      </c>
      <c r="F781" s="199">
        <v>10293.299999999999</v>
      </c>
      <c r="G781" s="86">
        <f t="shared" si="66"/>
        <v>0.90886053595867722</v>
      </c>
      <c r="H781" s="87">
        <f t="shared" si="67"/>
        <v>2.0586599999999997</v>
      </c>
      <c r="I781" s="87">
        <f>F781/F774</f>
        <v>3.4474001121234797E-2</v>
      </c>
    </row>
    <row r="782" spans="1:9" s="17" customFormat="1" ht="16.5" customHeight="1" x14ac:dyDescent="0.3">
      <c r="A782" s="207">
        <v>13681</v>
      </c>
      <c r="B782" s="821" t="s">
        <v>232</v>
      </c>
      <c r="C782" s="822"/>
      <c r="D782" s="199">
        <f>0+0+0+0+0</f>
        <v>0</v>
      </c>
      <c r="E782" s="502">
        <v>1000</v>
      </c>
      <c r="F782" s="199">
        <f>0+0+0+0+0</f>
        <v>0</v>
      </c>
      <c r="G782" s="86" t="e">
        <f t="shared" si="66"/>
        <v>#DIV/0!</v>
      </c>
      <c r="H782" s="87">
        <f t="shared" si="67"/>
        <v>0</v>
      </c>
      <c r="I782" s="87">
        <f>F782/F777</f>
        <v>0</v>
      </c>
    </row>
    <row r="783" spans="1:9" s="17" customFormat="1" ht="16.5" customHeight="1" x14ac:dyDescent="0.2">
      <c r="A783" s="552">
        <v>1370</v>
      </c>
      <c r="B783" s="790" t="s">
        <v>233</v>
      </c>
      <c r="C783" s="791"/>
      <c r="D783" s="202">
        <f>D784+D785+D786+D787+D788+D789+D790+D791</f>
        <v>473865.68999999994</v>
      </c>
      <c r="E783" s="202">
        <f>E784+E785+E786+E787+E788+E789+E790+E791</f>
        <v>1100000</v>
      </c>
      <c r="F783" s="457">
        <f>F784+F785+F786+F787+F788+F789+F790+F791</f>
        <v>490392.14</v>
      </c>
      <c r="G783" s="148">
        <f t="shared" si="66"/>
        <v>1.0348758104854565</v>
      </c>
      <c r="H783" s="137">
        <f t="shared" si="67"/>
        <v>0.44581103636363639</v>
      </c>
      <c r="I783" s="126">
        <f>F783/F841</f>
        <v>0.12999856986026623</v>
      </c>
    </row>
    <row r="784" spans="1:9" s="17" customFormat="1" ht="16.5" customHeight="1" x14ac:dyDescent="0.3">
      <c r="A784" s="536">
        <v>13710</v>
      </c>
      <c r="B784" s="799" t="s">
        <v>234</v>
      </c>
      <c r="C784" s="800"/>
      <c r="D784" s="199">
        <v>2813.6</v>
      </c>
      <c r="E784" s="501">
        <v>5000</v>
      </c>
      <c r="F784" s="199">
        <v>824</v>
      </c>
      <c r="G784" s="86">
        <f t="shared" si="66"/>
        <v>0.29286323571225475</v>
      </c>
      <c r="H784" s="87">
        <f t="shared" si="67"/>
        <v>0.1648</v>
      </c>
      <c r="I784" s="87">
        <f>F784/F783</f>
        <v>1.6802879426248553E-3</v>
      </c>
    </row>
    <row r="785" spans="1:9" s="17" customFormat="1" ht="16.5" customHeight="1" x14ac:dyDescent="0.3">
      <c r="A785" s="536">
        <v>13720</v>
      </c>
      <c r="B785" s="799" t="s">
        <v>235</v>
      </c>
      <c r="C785" s="800"/>
      <c r="D785" s="199">
        <v>126495.84</v>
      </c>
      <c r="E785" s="501">
        <v>382000</v>
      </c>
      <c r="F785" s="199">
        <v>138390.89000000001</v>
      </c>
      <c r="G785" s="86">
        <f t="shared" si="66"/>
        <v>1.0940351081901192</v>
      </c>
      <c r="H785" s="87">
        <f t="shared" si="67"/>
        <v>0.36227981675392673</v>
      </c>
      <c r="I785" s="87">
        <f>F785/F783</f>
        <v>0.28220454349044016</v>
      </c>
    </row>
    <row r="786" spans="1:9" s="17" customFormat="1" ht="16.5" customHeight="1" x14ac:dyDescent="0.3">
      <c r="A786" s="536">
        <v>13730</v>
      </c>
      <c r="B786" s="799" t="s">
        <v>236</v>
      </c>
      <c r="C786" s="800"/>
      <c r="D786" s="199">
        <f>0+0+0+0+0</f>
        <v>0</v>
      </c>
      <c r="E786" s="501">
        <v>4000</v>
      </c>
      <c r="F786" s="199">
        <f>0+0+0+0+0</f>
        <v>0</v>
      </c>
      <c r="G786" s="86" t="e">
        <f t="shared" si="66"/>
        <v>#DIV/0!</v>
      </c>
      <c r="H786" s="87">
        <f t="shared" si="67"/>
        <v>0</v>
      </c>
      <c r="I786" s="87">
        <f>F786/F783</f>
        <v>0</v>
      </c>
    </row>
    <row r="787" spans="1:9" s="17" customFormat="1" ht="16.5" customHeight="1" x14ac:dyDescent="0.3">
      <c r="A787" s="536">
        <v>13750</v>
      </c>
      <c r="B787" s="799" t="s">
        <v>237</v>
      </c>
      <c r="C787" s="800"/>
      <c r="D787" s="199">
        <f>0+0+0+0+0</f>
        <v>0</v>
      </c>
      <c r="E787" s="501">
        <v>0</v>
      </c>
      <c r="F787" s="199">
        <f>0+0+0+0+0</f>
        <v>0</v>
      </c>
      <c r="G787" s="86" t="e">
        <f t="shared" si="66"/>
        <v>#DIV/0!</v>
      </c>
      <c r="H787" s="87" t="e">
        <f t="shared" si="67"/>
        <v>#DIV/0!</v>
      </c>
      <c r="I787" s="87">
        <f>F787/F783</f>
        <v>0</v>
      </c>
    </row>
    <row r="788" spans="1:9" s="17" customFormat="1" ht="16.5" customHeight="1" x14ac:dyDescent="0.3">
      <c r="A788" s="536">
        <v>13760</v>
      </c>
      <c r="B788" s="799" t="s">
        <v>589</v>
      </c>
      <c r="C788" s="800"/>
      <c r="D788" s="199">
        <v>169122.17</v>
      </c>
      <c r="E788" s="501">
        <v>386500</v>
      </c>
      <c r="F788" s="199">
        <v>171352.34</v>
      </c>
      <c r="G788" s="86">
        <f t="shared" si="66"/>
        <v>1.0131867395031651</v>
      </c>
      <c r="H788" s="87">
        <f t="shared" si="67"/>
        <v>0.44334369987063388</v>
      </c>
      <c r="I788" s="87">
        <f>F788/F783</f>
        <v>0.34941901801280906</v>
      </c>
    </row>
    <row r="789" spans="1:9" s="17" customFormat="1" ht="16.5" customHeight="1" x14ac:dyDescent="0.3">
      <c r="A789" s="533">
        <v>13770</v>
      </c>
      <c r="B789" s="801" t="s">
        <v>238</v>
      </c>
      <c r="C789" s="802"/>
      <c r="D789" s="199">
        <v>0</v>
      </c>
      <c r="E789" s="501">
        <v>23500</v>
      </c>
      <c r="F789" s="199">
        <v>0</v>
      </c>
      <c r="G789" s="143" t="e">
        <f t="shared" si="66"/>
        <v>#DIV/0!</v>
      </c>
      <c r="H789" s="87">
        <f t="shared" si="67"/>
        <v>0</v>
      </c>
      <c r="I789" s="144">
        <f>F789/F783</f>
        <v>0</v>
      </c>
    </row>
    <row r="790" spans="1:9" s="17" customFormat="1" ht="16.5" customHeight="1" x14ac:dyDescent="0.3">
      <c r="A790" s="536">
        <v>13780</v>
      </c>
      <c r="B790" s="799" t="s">
        <v>658</v>
      </c>
      <c r="C790" s="800"/>
      <c r="D790" s="199">
        <v>175434.08</v>
      </c>
      <c r="E790" s="501">
        <v>283000</v>
      </c>
      <c r="F790" s="199">
        <v>179824.91</v>
      </c>
      <c r="G790" s="86">
        <f t="shared" si="66"/>
        <v>1.0250283753304945</v>
      </c>
      <c r="H790" s="87">
        <f t="shared" si="67"/>
        <v>0.63542371024734978</v>
      </c>
      <c r="I790" s="87">
        <f>F790/F783</f>
        <v>0.36669615055412591</v>
      </c>
    </row>
    <row r="791" spans="1:9" s="17" customFormat="1" ht="16.5" customHeight="1" x14ac:dyDescent="0.3">
      <c r="A791" s="536">
        <v>13790</v>
      </c>
      <c r="B791" s="799" t="s">
        <v>239</v>
      </c>
      <c r="C791" s="800"/>
      <c r="D791" s="199">
        <v>0</v>
      </c>
      <c r="E791" s="501">
        <v>16000</v>
      </c>
      <c r="F791" s="199">
        <v>0</v>
      </c>
      <c r="G791" s="86" t="e">
        <f t="shared" si="66"/>
        <v>#DIV/0!</v>
      </c>
      <c r="H791" s="87">
        <f t="shared" si="67"/>
        <v>0</v>
      </c>
      <c r="I791" s="87">
        <f>F791/F783</f>
        <v>0</v>
      </c>
    </row>
    <row r="792" spans="1:9" s="17" customFormat="1" ht="16.5" customHeight="1" x14ac:dyDescent="0.2">
      <c r="A792" s="552">
        <v>1380</v>
      </c>
      <c r="B792" s="790" t="s">
        <v>240</v>
      </c>
      <c r="C792" s="791"/>
      <c r="D792" s="202">
        <f>D793+D794+D795</f>
        <v>3272</v>
      </c>
      <c r="E792" s="202">
        <f t="shared" ref="E792:F792" si="69">E793+E794+E795</f>
        <v>3500</v>
      </c>
      <c r="F792" s="457">
        <f t="shared" si="69"/>
        <v>1986.6</v>
      </c>
      <c r="G792" s="148">
        <f t="shared" si="66"/>
        <v>0.60715158924205381</v>
      </c>
      <c r="H792" s="137">
        <f t="shared" si="67"/>
        <v>0.56759999999999999</v>
      </c>
      <c r="I792" s="137">
        <f>F792/F841</f>
        <v>5.266298902841406E-4</v>
      </c>
    </row>
    <row r="793" spans="1:9" s="17" customFormat="1" ht="16.5" customHeight="1" x14ac:dyDescent="0.2">
      <c r="A793" s="533">
        <v>13810</v>
      </c>
      <c r="B793" s="801" t="s">
        <v>440</v>
      </c>
      <c r="C793" s="802"/>
      <c r="D793" s="199">
        <v>500</v>
      </c>
      <c r="E793" s="203">
        <v>3500</v>
      </c>
      <c r="F793" s="199">
        <v>500</v>
      </c>
      <c r="G793" s="86">
        <f t="shared" si="66"/>
        <v>1</v>
      </c>
      <c r="H793" s="87">
        <f t="shared" si="67"/>
        <v>0.14285714285714285</v>
      </c>
      <c r="I793" s="144">
        <f>F793/F792</f>
        <v>0.25168629819792609</v>
      </c>
    </row>
    <row r="794" spans="1:9" s="17" customFormat="1" ht="16.5" customHeight="1" x14ac:dyDescent="0.2">
      <c r="A794" s="106">
        <v>13820</v>
      </c>
      <c r="B794" s="799" t="s">
        <v>241</v>
      </c>
      <c r="C794" s="800"/>
      <c r="D794" s="199">
        <v>2772</v>
      </c>
      <c r="E794" s="203">
        <v>0</v>
      </c>
      <c r="F794" s="199">
        <v>1486.6</v>
      </c>
      <c r="G794" s="86">
        <f t="shared" si="66"/>
        <v>0.53629148629148626</v>
      </c>
      <c r="H794" s="87" t="e">
        <f t="shared" si="67"/>
        <v>#DIV/0!</v>
      </c>
      <c r="I794" s="87">
        <f>F794/F792</f>
        <v>0.74831370180207391</v>
      </c>
    </row>
    <row r="795" spans="1:9" s="17" customFormat="1" ht="16.5" customHeight="1" x14ac:dyDescent="0.2">
      <c r="A795" s="106">
        <v>13850</v>
      </c>
      <c r="B795" s="799" t="s">
        <v>242</v>
      </c>
      <c r="C795" s="800"/>
      <c r="D795" s="199">
        <v>0</v>
      </c>
      <c r="E795" s="203">
        <v>0</v>
      </c>
      <c r="F795" s="199">
        <v>0</v>
      </c>
      <c r="G795" s="86" t="e">
        <f t="shared" si="66"/>
        <v>#DIV/0!</v>
      </c>
      <c r="H795" s="87" t="e">
        <f>F795/D795</f>
        <v>#DIV/0!</v>
      </c>
      <c r="I795" s="87">
        <f>F795/F792</f>
        <v>0</v>
      </c>
    </row>
    <row r="796" spans="1:9" s="17" customFormat="1" ht="16.5" customHeight="1" x14ac:dyDescent="0.2">
      <c r="A796" s="552">
        <v>1390</v>
      </c>
      <c r="B796" s="790" t="s">
        <v>243</v>
      </c>
      <c r="C796" s="791"/>
      <c r="D796" s="202">
        <f>D797+D798</f>
        <v>0</v>
      </c>
      <c r="E796" s="202">
        <f>E797+E798</f>
        <v>0</v>
      </c>
      <c r="F796" s="202">
        <f>F797+F798</f>
        <v>0</v>
      </c>
      <c r="G796" s="148" t="e">
        <f t="shared" si="66"/>
        <v>#DIV/0!</v>
      </c>
      <c r="H796" s="137" t="e">
        <f>F796/D796</f>
        <v>#DIV/0!</v>
      </c>
      <c r="I796" s="137">
        <f>F796/F841</f>
        <v>0</v>
      </c>
    </row>
    <row r="797" spans="1:9" s="17" customFormat="1" ht="16.5" customHeight="1" x14ac:dyDescent="0.2">
      <c r="A797" s="536">
        <v>13913</v>
      </c>
      <c r="B797" s="799" t="s">
        <v>523</v>
      </c>
      <c r="C797" s="800"/>
      <c r="D797" s="199">
        <v>0</v>
      </c>
      <c r="E797" s="205">
        <v>0</v>
      </c>
      <c r="F797" s="199">
        <v>0</v>
      </c>
      <c r="G797" s="86" t="e">
        <f t="shared" si="66"/>
        <v>#DIV/0!</v>
      </c>
      <c r="H797" s="87" t="e">
        <f t="shared" ref="H797:H810" si="70">F797/E797</f>
        <v>#DIV/0!</v>
      </c>
      <c r="I797" s="87" t="e">
        <f>F797/F796</f>
        <v>#DIV/0!</v>
      </c>
    </row>
    <row r="798" spans="1:9" s="17" customFormat="1" ht="16.5" customHeight="1" x14ac:dyDescent="0.2">
      <c r="A798" s="536">
        <v>13917</v>
      </c>
      <c r="B798" s="799" t="s">
        <v>244</v>
      </c>
      <c r="C798" s="800"/>
      <c r="D798" s="199">
        <f t="shared" ref="D798" si="71">0+0</f>
        <v>0</v>
      </c>
      <c r="E798" s="205">
        <v>0</v>
      </c>
      <c r="F798" s="199">
        <v>0</v>
      </c>
      <c r="G798" s="86" t="e">
        <f t="shared" si="66"/>
        <v>#DIV/0!</v>
      </c>
      <c r="H798" s="87" t="e">
        <f t="shared" si="70"/>
        <v>#DIV/0!</v>
      </c>
      <c r="I798" s="87" t="e">
        <f>F798/F796</f>
        <v>#DIV/0!</v>
      </c>
    </row>
    <row r="799" spans="1:9" s="17" customFormat="1" ht="16.5" customHeight="1" x14ac:dyDescent="0.2">
      <c r="A799" s="552">
        <v>1395</v>
      </c>
      <c r="B799" s="790" t="s">
        <v>245</v>
      </c>
      <c r="C799" s="791"/>
      <c r="D799" s="208">
        <f>D800+D801+D802+D803</f>
        <v>29029.33</v>
      </c>
      <c r="E799" s="208">
        <f>E800+E801+E802+E803</f>
        <v>88500</v>
      </c>
      <c r="F799" s="461">
        <f>F800+F801+F802+F803</f>
        <v>8835.15</v>
      </c>
      <c r="G799" s="148">
        <f t="shared" si="66"/>
        <v>0.30435252897672799</v>
      </c>
      <c r="H799" s="137">
        <f t="shared" si="70"/>
        <v>9.9832203389830509E-2</v>
      </c>
      <c r="I799" s="137">
        <f>F799/F841</f>
        <v>2.3421192364562189E-3</v>
      </c>
    </row>
    <row r="800" spans="1:9" s="17" customFormat="1" ht="16.5" customHeight="1" x14ac:dyDescent="0.3">
      <c r="A800" s="536">
        <v>13950</v>
      </c>
      <c r="B800" s="799" t="s">
        <v>246</v>
      </c>
      <c r="C800" s="800"/>
      <c r="D800" s="199">
        <v>10158.77</v>
      </c>
      <c r="E800" s="501">
        <v>39500</v>
      </c>
      <c r="F800" s="199">
        <v>3008</v>
      </c>
      <c r="G800" s="86">
        <f t="shared" si="66"/>
        <v>0.29609883873736681</v>
      </c>
      <c r="H800" s="87">
        <f t="shared" si="70"/>
        <v>7.6151898734177215E-2</v>
      </c>
      <c r="I800" s="87">
        <f>F800/F799</f>
        <v>0.34045828310781368</v>
      </c>
    </row>
    <row r="801" spans="1:9" s="17" customFormat="1" ht="16.5" customHeight="1" x14ac:dyDescent="0.3">
      <c r="A801" s="536">
        <v>13951</v>
      </c>
      <c r="B801" s="799" t="s">
        <v>247</v>
      </c>
      <c r="C801" s="800"/>
      <c r="D801" s="199">
        <v>18870.560000000001</v>
      </c>
      <c r="E801" s="501">
        <v>49000</v>
      </c>
      <c r="F801" s="199">
        <v>5827.15</v>
      </c>
      <c r="G801" s="86">
        <f t="shared" si="66"/>
        <v>0.30879581740022549</v>
      </c>
      <c r="H801" s="87">
        <f t="shared" si="70"/>
        <v>0.11892142857142857</v>
      </c>
      <c r="I801" s="87">
        <f>F801/F799</f>
        <v>0.65954171689218632</v>
      </c>
    </row>
    <row r="802" spans="1:9" s="17" customFormat="1" ht="16.5" customHeight="1" x14ac:dyDescent="0.3">
      <c r="A802" s="533">
        <v>13952</v>
      </c>
      <c r="B802" s="801" t="s">
        <v>248</v>
      </c>
      <c r="C802" s="802"/>
      <c r="D802" s="199">
        <v>0</v>
      </c>
      <c r="E802" s="501">
        <f t="shared" ref="E802:E803" si="72">0+0</f>
        <v>0</v>
      </c>
      <c r="F802" s="199">
        <v>0</v>
      </c>
      <c r="G802" s="143" t="e">
        <f t="shared" si="66"/>
        <v>#DIV/0!</v>
      </c>
      <c r="H802" s="144" t="e">
        <f t="shared" si="70"/>
        <v>#DIV/0!</v>
      </c>
      <c r="I802" s="144">
        <f>F802/F799</f>
        <v>0</v>
      </c>
    </row>
    <row r="803" spans="1:9" s="17" customFormat="1" ht="16.5" customHeight="1" x14ac:dyDescent="0.3">
      <c r="A803" s="533">
        <v>13953</v>
      </c>
      <c r="B803" s="801" t="s">
        <v>249</v>
      </c>
      <c r="C803" s="802"/>
      <c r="D803" s="199">
        <v>0</v>
      </c>
      <c r="E803" s="501">
        <f t="shared" si="72"/>
        <v>0</v>
      </c>
      <c r="F803" s="199">
        <v>0</v>
      </c>
      <c r="G803" s="143" t="e">
        <f t="shared" si="66"/>
        <v>#DIV/0!</v>
      </c>
      <c r="H803" s="144" t="e">
        <f t="shared" si="70"/>
        <v>#DIV/0!</v>
      </c>
      <c r="I803" s="144">
        <f>F803/F799</f>
        <v>0</v>
      </c>
    </row>
    <row r="804" spans="1:9" s="17" customFormat="1" ht="16.5" customHeight="1" x14ac:dyDescent="0.2">
      <c r="A804" s="552">
        <v>1400</v>
      </c>
      <c r="B804" s="790" t="s">
        <v>250</v>
      </c>
      <c r="C804" s="791"/>
      <c r="D804" s="202">
        <f>D805+D806+D807+D808+D809+D810+D816+D817+D818+D819+D820</f>
        <v>571286.32999999996</v>
      </c>
      <c r="E804" s="206">
        <f>E805+E806+E807+E808+E809+E810+E816+E817+E818+E819+E820</f>
        <v>804000</v>
      </c>
      <c r="F804" s="457">
        <f>F805+F806+F807+F808+F809+F810+F816+F817+F818+F819+F820</f>
        <v>836090.04</v>
      </c>
      <c r="G804" s="148">
        <f t="shared" si="66"/>
        <v>1.4635218735235624</v>
      </c>
      <c r="H804" s="137">
        <f t="shared" si="70"/>
        <v>1.0399129850746269</v>
      </c>
      <c r="I804" s="137">
        <f>F804/F841</f>
        <v>0.22163999095583548</v>
      </c>
    </row>
    <row r="805" spans="1:9" s="17" customFormat="1" ht="16.5" customHeight="1" x14ac:dyDescent="0.3">
      <c r="A805" s="536">
        <v>14010</v>
      </c>
      <c r="B805" s="799" t="s">
        <v>251</v>
      </c>
      <c r="C805" s="800"/>
      <c r="D805" s="199">
        <v>42606.9</v>
      </c>
      <c r="E805" s="501">
        <v>90000</v>
      </c>
      <c r="F805" s="199">
        <v>53753</v>
      </c>
      <c r="G805" s="86">
        <f t="shared" si="66"/>
        <v>1.2616031675620616</v>
      </c>
      <c r="H805" s="87">
        <f t="shared" si="70"/>
        <v>0.59725555555555554</v>
      </c>
      <c r="I805" s="87">
        <f>F805/F804</f>
        <v>6.4290922542265899E-2</v>
      </c>
    </row>
    <row r="806" spans="1:9" s="17" customFormat="1" ht="16.5" customHeight="1" x14ac:dyDescent="0.3">
      <c r="A806" s="536">
        <v>14020</v>
      </c>
      <c r="B806" s="799" t="s">
        <v>252</v>
      </c>
      <c r="C806" s="800"/>
      <c r="D806" s="199">
        <v>20753.57</v>
      </c>
      <c r="E806" s="501">
        <v>61000</v>
      </c>
      <c r="F806" s="199">
        <v>192</v>
      </c>
      <c r="G806" s="86">
        <f t="shared" si="66"/>
        <v>9.2514203580396047E-3</v>
      </c>
      <c r="H806" s="87">
        <f t="shared" si="70"/>
        <v>3.1475409836065572E-3</v>
      </c>
      <c r="I806" s="87">
        <f>F806/F804</f>
        <v>2.2964033873672265E-4</v>
      </c>
    </row>
    <row r="807" spans="1:9" s="17" customFormat="1" ht="16.5" customHeight="1" x14ac:dyDescent="0.3">
      <c r="A807" s="536">
        <v>14021</v>
      </c>
      <c r="B807" s="799" t="s">
        <v>253</v>
      </c>
      <c r="C807" s="800"/>
      <c r="D807" s="199">
        <v>0</v>
      </c>
      <c r="E807" s="503">
        <v>0</v>
      </c>
      <c r="F807" s="199">
        <v>0</v>
      </c>
      <c r="G807" s="86" t="e">
        <f t="shared" si="66"/>
        <v>#DIV/0!</v>
      </c>
      <c r="H807" s="87" t="e">
        <f t="shared" si="70"/>
        <v>#DIV/0!</v>
      </c>
      <c r="I807" s="87" t="e">
        <f>F807/F837</f>
        <v>#DIV/0!</v>
      </c>
    </row>
    <row r="808" spans="1:9" s="17" customFormat="1" ht="16.5" customHeight="1" x14ac:dyDescent="0.3">
      <c r="A808" s="536">
        <v>14022</v>
      </c>
      <c r="B808" s="799" t="s">
        <v>413</v>
      </c>
      <c r="C808" s="800"/>
      <c r="D808" s="199">
        <f>0+0+0+0+0</f>
        <v>0</v>
      </c>
      <c r="E808" s="502">
        <v>0</v>
      </c>
      <c r="F808" s="199">
        <v>103613.4</v>
      </c>
      <c r="G808" s="86" t="e">
        <f t="shared" si="66"/>
        <v>#DIV/0!</v>
      </c>
      <c r="H808" s="87" t="e">
        <f t="shared" si="70"/>
        <v>#DIV/0!</v>
      </c>
      <c r="I808" s="87">
        <f>F808/F804</f>
        <v>0.12392612642533092</v>
      </c>
    </row>
    <row r="809" spans="1:9" s="17" customFormat="1" ht="16.5" customHeight="1" x14ac:dyDescent="0.3">
      <c r="A809" s="536">
        <v>14023</v>
      </c>
      <c r="B809" s="799" t="s">
        <v>254</v>
      </c>
      <c r="C809" s="800"/>
      <c r="D809" s="199">
        <v>68802.009999999995</v>
      </c>
      <c r="E809" s="503">
        <v>70000</v>
      </c>
      <c r="F809" s="199">
        <v>33543.480000000003</v>
      </c>
      <c r="G809" s="86">
        <f t="shared" si="66"/>
        <v>0.48753633796454504</v>
      </c>
      <c r="H809" s="87">
        <f t="shared" si="70"/>
        <v>0.47919257142857147</v>
      </c>
      <c r="I809" s="87">
        <f>F809/F804</f>
        <v>4.0119458904210842E-2</v>
      </c>
    </row>
    <row r="810" spans="1:9" s="17" customFormat="1" ht="16.5" customHeight="1" x14ac:dyDescent="0.3">
      <c r="A810" s="536">
        <v>14024</v>
      </c>
      <c r="B810" s="799" t="s">
        <v>255</v>
      </c>
      <c r="C810" s="800"/>
      <c r="D810" s="199">
        <v>79074.37</v>
      </c>
      <c r="E810" s="502">
        <f>20000+10000</f>
        <v>30000</v>
      </c>
      <c r="F810" s="199">
        <v>37594</v>
      </c>
      <c r="G810" s="86">
        <f t="shared" si="66"/>
        <v>0.47542585543204458</v>
      </c>
      <c r="H810" s="87">
        <f t="shared" si="70"/>
        <v>1.2531333333333334</v>
      </c>
      <c r="I810" s="87" t="e">
        <f>F810/F837</f>
        <v>#DIV/0!</v>
      </c>
    </row>
    <row r="811" spans="1:9" s="17" customFormat="1" ht="16.5" customHeight="1" x14ac:dyDescent="0.2">
      <c r="A811" s="570"/>
      <c r="B811" s="518"/>
      <c r="C811" s="518"/>
      <c r="D811" s="411"/>
      <c r="E811" s="412"/>
      <c r="F811" s="411"/>
      <c r="G811" s="398"/>
      <c r="H811" s="233"/>
      <c r="I811" s="233"/>
    </row>
    <row r="812" spans="1:9" s="17" customFormat="1" ht="16.5" customHeight="1" x14ac:dyDescent="0.2">
      <c r="A812" s="570"/>
      <c r="B812" s="518"/>
      <c r="C812" s="518"/>
      <c r="D812" s="411"/>
      <c r="E812" s="412"/>
      <c r="F812" s="411"/>
      <c r="G812" s="398"/>
      <c r="H812" s="233"/>
      <c r="I812" s="233"/>
    </row>
    <row r="813" spans="1:9" s="17" customFormat="1" ht="16.5" customHeight="1" x14ac:dyDescent="0.2">
      <c r="A813" s="570"/>
      <c r="B813" s="518"/>
      <c r="C813" s="518"/>
      <c r="D813" s="411"/>
      <c r="E813" s="412"/>
      <c r="F813" s="411"/>
      <c r="G813" s="398"/>
      <c r="H813" s="233"/>
      <c r="I813" s="233"/>
    </row>
    <row r="814" spans="1:9" s="17" customFormat="1" ht="16.5" customHeight="1" x14ac:dyDescent="0.2">
      <c r="A814" s="570"/>
      <c r="B814" s="518"/>
      <c r="C814" s="518"/>
      <c r="D814" s="411"/>
      <c r="E814" s="412"/>
      <c r="F814" s="411"/>
      <c r="G814" s="398"/>
      <c r="H814" s="233"/>
      <c r="I814" s="233"/>
    </row>
    <row r="815" spans="1:9" s="17" customFormat="1" ht="16.5" customHeight="1" x14ac:dyDescent="0.2">
      <c r="I815" s="575"/>
    </row>
    <row r="816" spans="1:9" s="17" customFormat="1" ht="16.5" customHeight="1" x14ac:dyDescent="0.3">
      <c r="A816" s="536">
        <v>14030</v>
      </c>
      <c r="B816" s="799" t="s">
        <v>256</v>
      </c>
      <c r="C816" s="800"/>
      <c r="D816" s="199">
        <v>161869.99</v>
      </c>
      <c r="E816" s="501">
        <v>0</v>
      </c>
      <c r="F816" s="199">
        <v>131961.03</v>
      </c>
      <c r="G816" s="86">
        <f t="shared" ref="G816:G834" si="73">F816/D816</f>
        <v>0.81522850529613311</v>
      </c>
      <c r="H816" s="87" t="e">
        <f t="shared" ref="H816:H834" si="74">F816/E816</f>
        <v>#DIV/0!</v>
      </c>
      <c r="I816" s="87">
        <f>F816/F804</f>
        <v>0.15783112306899386</v>
      </c>
    </row>
    <row r="817" spans="1:9" s="17" customFormat="1" ht="16.5" customHeight="1" x14ac:dyDescent="0.3">
      <c r="A817" s="536">
        <v>14032</v>
      </c>
      <c r="B817" s="799" t="s">
        <v>257</v>
      </c>
      <c r="C817" s="800"/>
      <c r="D817" s="199">
        <v>173877.49</v>
      </c>
      <c r="E817" s="501">
        <v>531000</v>
      </c>
      <c r="F817" s="199">
        <v>468524.08</v>
      </c>
      <c r="G817" s="86">
        <f t="shared" si="73"/>
        <v>2.6945643165196373</v>
      </c>
      <c r="H817" s="87">
        <f t="shared" si="74"/>
        <v>0.88234290018832395</v>
      </c>
      <c r="I817" s="87">
        <f>F817/F804</f>
        <v>0.56037514811203826</v>
      </c>
    </row>
    <row r="818" spans="1:9" s="17" customFormat="1" ht="16.5" customHeight="1" x14ac:dyDescent="0.3">
      <c r="A818" s="536">
        <v>14040</v>
      </c>
      <c r="B818" s="799" t="s">
        <v>258</v>
      </c>
      <c r="C818" s="800"/>
      <c r="D818" s="199">
        <v>0</v>
      </c>
      <c r="E818" s="504">
        <v>0</v>
      </c>
      <c r="F818" s="199">
        <v>0</v>
      </c>
      <c r="G818" s="86" t="e">
        <f t="shared" si="73"/>
        <v>#DIV/0!</v>
      </c>
      <c r="H818" s="87" t="e">
        <f t="shared" si="74"/>
        <v>#DIV/0!</v>
      </c>
      <c r="I818" s="87">
        <f>F818/F804</f>
        <v>0</v>
      </c>
    </row>
    <row r="819" spans="1:9" s="17" customFormat="1" ht="16.5" customHeight="1" x14ac:dyDescent="0.2">
      <c r="A819" s="557">
        <v>14050</v>
      </c>
      <c r="B819" s="799" t="s">
        <v>259</v>
      </c>
      <c r="C819" s="800"/>
      <c r="D819" s="199">
        <v>24302</v>
      </c>
      <c r="E819" s="456">
        <v>22000</v>
      </c>
      <c r="F819" s="199">
        <v>6309.05</v>
      </c>
      <c r="G819" s="209">
        <f t="shared" si="73"/>
        <v>0.25961032013826024</v>
      </c>
      <c r="H819" s="87">
        <f t="shared" si="74"/>
        <v>0.286775</v>
      </c>
      <c r="I819" s="210">
        <f>F819/F804</f>
        <v>7.5458978078485417E-3</v>
      </c>
    </row>
    <row r="820" spans="1:9" s="17" customFormat="1" ht="16.5" customHeight="1" x14ac:dyDescent="0.2">
      <c r="A820" s="654">
        <v>14060</v>
      </c>
      <c r="B820" s="655" t="s">
        <v>659</v>
      </c>
      <c r="C820" s="656"/>
      <c r="D820" s="199">
        <v>0</v>
      </c>
      <c r="E820" s="456">
        <v>0</v>
      </c>
      <c r="F820" s="199">
        <v>600</v>
      </c>
      <c r="G820" s="209" t="e">
        <f t="shared" si="73"/>
        <v>#DIV/0!</v>
      </c>
      <c r="H820" s="87" t="e">
        <f t="shared" si="74"/>
        <v>#DIV/0!</v>
      </c>
      <c r="I820" s="210"/>
    </row>
    <row r="821" spans="1:9" s="17" customFormat="1" ht="16.5" customHeight="1" x14ac:dyDescent="0.2">
      <c r="A821" s="552">
        <v>1410</v>
      </c>
      <c r="B821" s="790" t="s">
        <v>260</v>
      </c>
      <c r="C821" s="791"/>
      <c r="D821" s="202">
        <f>D822+D824+D823</f>
        <v>0</v>
      </c>
      <c r="E821" s="202">
        <f>E822+E824+E823</f>
        <v>0</v>
      </c>
      <c r="F821" s="202">
        <f>F822+F824+F823</f>
        <v>0</v>
      </c>
      <c r="G821" s="148" t="e">
        <f t="shared" si="73"/>
        <v>#DIV/0!</v>
      </c>
      <c r="H821" s="137" t="e">
        <f t="shared" si="74"/>
        <v>#DIV/0!</v>
      </c>
      <c r="I821" s="137">
        <f>F821/F841</f>
        <v>0</v>
      </c>
    </row>
    <row r="822" spans="1:9" s="17" customFormat="1" ht="16.5" customHeight="1" x14ac:dyDescent="0.2">
      <c r="A822" s="211">
        <v>14110</v>
      </c>
      <c r="B822" s="801" t="s">
        <v>261</v>
      </c>
      <c r="C822" s="802"/>
      <c r="D822" s="199">
        <f>0+0+0+0+0</f>
        <v>0</v>
      </c>
      <c r="E822" s="205">
        <v>0</v>
      </c>
      <c r="F822" s="199">
        <f>0+0+0+0+0</f>
        <v>0</v>
      </c>
      <c r="G822" s="86" t="e">
        <f t="shared" si="73"/>
        <v>#DIV/0!</v>
      </c>
      <c r="H822" s="87" t="e">
        <f t="shared" si="74"/>
        <v>#DIV/0!</v>
      </c>
      <c r="I822" s="87" t="e">
        <f>F822/F821</f>
        <v>#DIV/0!</v>
      </c>
    </row>
    <row r="823" spans="1:9" s="17" customFormat="1" ht="16.5" customHeight="1" x14ac:dyDescent="0.2">
      <c r="A823" s="536">
        <v>14130</v>
      </c>
      <c r="B823" s="799" t="s">
        <v>262</v>
      </c>
      <c r="C823" s="800"/>
      <c r="D823" s="199">
        <f>0+0+0+0+0</f>
        <v>0</v>
      </c>
      <c r="E823" s="205">
        <v>0</v>
      </c>
      <c r="F823" s="199">
        <f>0+0+0+0+0</f>
        <v>0</v>
      </c>
      <c r="G823" s="86" t="e">
        <f t="shared" si="73"/>
        <v>#DIV/0!</v>
      </c>
      <c r="H823" s="87" t="e">
        <f t="shared" si="74"/>
        <v>#DIV/0!</v>
      </c>
      <c r="I823" s="87" t="e">
        <f>F823/F821</f>
        <v>#DIV/0!</v>
      </c>
    </row>
    <row r="824" spans="1:9" s="17" customFormat="1" ht="16.5" customHeight="1" x14ac:dyDescent="0.2">
      <c r="A824" s="536">
        <v>14150</v>
      </c>
      <c r="B824" s="799" t="s">
        <v>263</v>
      </c>
      <c r="C824" s="800"/>
      <c r="D824" s="199">
        <f>0+0+0+0+0</f>
        <v>0</v>
      </c>
      <c r="E824" s="205">
        <v>0</v>
      </c>
      <c r="F824" s="199">
        <f>0+0+0+0+0</f>
        <v>0</v>
      </c>
      <c r="G824" s="86" t="e">
        <f t="shared" si="73"/>
        <v>#DIV/0!</v>
      </c>
      <c r="H824" s="87" t="e">
        <f t="shared" si="74"/>
        <v>#DIV/0!</v>
      </c>
      <c r="I824" s="87" t="e">
        <f>F824/F821</f>
        <v>#DIV/0!</v>
      </c>
    </row>
    <row r="825" spans="1:9" s="17" customFormat="1" ht="16.5" customHeight="1" x14ac:dyDescent="0.2">
      <c r="A825" s="552">
        <v>1420</v>
      </c>
      <c r="B825" s="790" t="s">
        <v>264</v>
      </c>
      <c r="C825" s="791"/>
      <c r="D825" s="202">
        <f t="shared" ref="D825:F825" si="75">D826+D827+D828</f>
        <v>0</v>
      </c>
      <c r="E825" s="202">
        <f t="shared" si="75"/>
        <v>0</v>
      </c>
      <c r="F825" s="427">
        <f t="shared" si="75"/>
        <v>7751</v>
      </c>
      <c r="G825" s="148" t="e">
        <f t="shared" si="73"/>
        <v>#DIV/0!</v>
      </c>
      <c r="H825" s="137" t="e">
        <f t="shared" si="74"/>
        <v>#DIV/0!</v>
      </c>
      <c r="I825" s="137">
        <f>F825/F841</f>
        <v>2.0547207689481394E-3</v>
      </c>
    </row>
    <row r="826" spans="1:9" s="17" customFormat="1" ht="16.5" customHeight="1" x14ac:dyDescent="0.2">
      <c r="A826" s="536">
        <v>14210</v>
      </c>
      <c r="B826" s="799" t="s">
        <v>265</v>
      </c>
      <c r="C826" s="800"/>
      <c r="D826" s="199">
        <v>0</v>
      </c>
      <c r="E826" s="455">
        <v>0</v>
      </c>
      <c r="F826" s="199">
        <v>0</v>
      </c>
      <c r="G826" s="86" t="e">
        <f t="shared" si="73"/>
        <v>#DIV/0!</v>
      </c>
      <c r="H826" s="87" t="e">
        <f t="shared" si="74"/>
        <v>#DIV/0!</v>
      </c>
      <c r="I826" s="87">
        <f>F826/F825</f>
        <v>0</v>
      </c>
    </row>
    <row r="827" spans="1:9" s="17" customFormat="1" ht="16.5" customHeight="1" x14ac:dyDescent="0.2">
      <c r="A827" s="536">
        <v>14220</v>
      </c>
      <c r="B827" s="799" t="s">
        <v>266</v>
      </c>
      <c r="C827" s="800"/>
      <c r="D827" s="199">
        <v>0</v>
      </c>
      <c r="E827" s="455">
        <v>0</v>
      </c>
      <c r="F827" s="199">
        <v>7751</v>
      </c>
      <c r="G827" s="86" t="e">
        <f t="shared" si="73"/>
        <v>#DIV/0!</v>
      </c>
      <c r="H827" s="87" t="e">
        <f t="shared" si="74"/>
        <v>#DIV/0!</v>
      </c>
      <c r="I827" s="87">
        <f>F827/F825</f>
        <v>1</v>
      </c>
    </row>
    <row r="828" spans="1:9" s="17" customFormat="1" ht="16.5" customHeight="1" x14ac:dyDescent="0.2">
      <c r="A828" s="536">
        <v>14230</v>
      </c>
      <c r="B828" s="799" t="s">
        <v>267</v>
      </c>
      <c r="C828" s="800"/>
      <c r="D828" s="199">
        <v>0</v>
      </c>
      <c r="E828" s="455">
        <f>0+0</f>
        <v>0</v>
      </c>
      <c r="F828" s="199">
        <v>0</v>
      </c>
      <c r="G828" s="86" t="e">
        <f t="shared" si="73"/>
        <v>#DIV/0!</v>
      </c>
      <c r="H828" s="87" t="e">
        <f t="shared" si="74"/>
        <v>#DIV/0!</v>
      </c>
      <c r="I828" s="87">
        <f>F828/F825</f>
        <v>0</v>
      </c>
    </row>
    <row r="829" spans="1:9" s="17" customFormat="1" ht="16.5" customHeight="1" x14ac:dyDescent="0.2">
      <c r="A829" s="552">
        <v>1430</v>
      </c>
      <c r="B829" s="790" t="s">
        <v>268</v>
      </c>
      <c r="C829" s="791"/>
      <c r="D829" s="202">
        <f>D830</f>
        <v>41254.9</v>
      </c>
      <c r="E829" s="202">
        <f>E830</f>
        <v>70800</v>
      </c>
      <c r="F829" s="427">
        <f>F830</f>
        <v>52145.07</v>
      </c>
      <c r="G829" s="148">
        <f t="shared" si="73"/>
        <v>1.2639727644473746</v>
      </c>
      <c r="H829" s="137">
        <f t="shared" si="74"/>
        <v>0.73651228813559322</v>
      </c>
      <c r="I829" s="137">
        <f>F829/F841</f>
        <v>1.3823191630403115E-2</v>
      </c>
    </row>
    <row r="830" spans="1:9" s="17" customFormat="1" ht="16.5" customHeight="1" x14ac:dyDescent="0.2">
      <c r="A830" s="536">
        <v>14310</v>
      </c>
      <c r="B830" s="799" t="s">
        <v>660</v>
      </c>
      <c r="C830" s="800"/>
      <c r="D830" s="199">
        <v>41254.9</v>
      </c>
      <c r="E830" s="458">
        <v>70800</v>
      </c>
      <c r="F830" s="199">
        <v>52145.07</v>
      </c>
      <c r="G830" s="86">
        <f t="shared" si="73"/>
        <v>1.2639727644473746</v>
      </c>
      <c r="H830" s="87">
        <f t="shared" si="74"/>
        <v>0.73651228813559322</v>
      </c>
      <c r="I830" s="87">
        <f>F830/F829</f>
        <v>1</v>
      </c>
    </row>
    <row r="831" spans="1:9" s="17" customFormat="1" ht="16.5" customHeight="1" x14ac:dyDescent="0.2">
      <c r="A831" s="552">
        <v>1440</v>
      </c>
      <c r="B831" s="790" t="s">
        <v>269</v>
      </c>
      <c r="C831" s="791"/>
      <c r="D831" s="202">
        <f>D832+D833+D834+D835</f>
        <v>106145.77</v>
      </c>
      <c r="E831" s="202">
        <f>E832+E833+E834+E835</f>
        <v>0</v>
      </c>
      <c r="F831" s="427">
        <f>F832+F833+F834+F835</f>
        <v>320614.3</v>
      </c>
      <c r="G831" s="148">
        <f t="shared" si="73"/>
        <v>3.0205094371636285</v>
      </c>
      <c r="H831" s="137" t="e">
        <f t="shared" si="74"/>
        <v>#DIV/0!</v>
      </c>
      <c r="I831" s="137">
        <f>F831/F841</f>
        <v>8.4991983103053725E-2</v>
      </c>
    </row>
    <row r="832" spans="1:9" s="17" customFormat="1" ht="16.5" customHeight="1" x14ac:dyDescent="0.2">
      <c r="A832" s="536">
        <v>14410</v>
      </c>
      <c r="B832" s="799" t="s">
        <v>269</v>
      </c>
      <c r="C832" s="800"/>
      <c r="D832" s="199">
        <v>106145.77</v>
      </c>
      <c r="E832" s="203">
        <v>0</v>
      </c>
      <c r="F832" s="199">
        <v>319164.7</v>
      </c>
      <c r="G832" s="86">
        <f t="shared" si="73"/>
        <v>3.0068527459926098</v>
      </c>
      <c r="H832" s="87" t="e">
        <f t="shared" si="74"/>
        <v>#DIV/0!</v>
      </c>
      <c r="I832" s="87">
        <f>F832/F831</f>
        <v>0.99547867952240443</v>
      </c>
    </row>
    <row r="833" spans="1:9" s="17" customFormat="1" ht="16.5" customHeight="1" x14ac:dyDescent="0.2">
      <c r="A833" s="653">
        <v>14415</v>
      </c>
      <c r="B833" s="655" t="s">
        <v>661</v>
      </c>
      <c r="C833" s="656"/>
      <c r="D833" s="199">
        <v>0</v>
      </c>
      <c r="E833" s="203">
        <v>0</v>
      </c>
      <c r="F833" s="199">
        <v>949.6</v>
      </c>
      <c r="G833" s="86" t="e">
        <f t="shared" si="73"/>
        <v>#DIV/0!</v>
      </c>
      <c r="H833" s="87" t="e">
        <f t="shared" si="74"/>
        <v>#DIV/0!</v>
      </c>
      <c r="I833" s="87"/>
    </row>
    <row r="834" spans="1:9" s="17" customFormat="1" ht="16.5" customHeight="1" x14ac:dyDescent="0.2">
      <c r="A834" s="536">
        <v>14420</v>
      </c>
      <c r="B834" s="799" t="s">
        <v>270</v>
      </c>
      <c r="C834" s="800"/>
      <c r="D834" s="199">
        <f>0+0+0+0+0</f>
        <v>0</v>
      </c>
      <c r="E834" s="203">
        <v>0</v>
      </c>
      <c r="F834" s="199">
        <f>0+0+0+0+0</f>
        <v>0</v>
      </c>
      <c r="G834" s="86" t="e">
        <f t="shared" si="73"/>
        <v>#DIV/0!</v>
      </c>
      <c r="H834" s="87" t="e">
        <f t="shared" si="74"/>
        <v>#DIV/0!</v>
      </c>
      <c r="I834" s="87">
        <f>F834/F832</f>
        <v>0</v>
      </c>
    </row>
    <row r="835" spans="1:9" s="17" customFormat="1" ht="16.5" customHeight="1" x14ac:dyDescent="0.2">
      <c r="A835" s="653">
        <v>14450</v>
      </c>
      <c r="B835" s="655" t="s">
        <v>662</v>
      </c>
      <c r="C835" s="656"/>
      <c r="D835" s="199">
        <v>0</v>
      </c>
      <c r="E835" s="203">
        <v>0</v>
      </c>
      <c r="F835" s="199">
        <v>500</v>
      </c>
      <c r="G835" s="86"/>
      <c r="H835" s="87"/>
      <c r="I835" s="87"/>
    </row>
    <row r="836" spans="1:9" s="17" customFormat="1" ht="16.5" customHeight="1" x14ac:dyDescent="0.2">
      <c r="A836" s="536">
        <v>14460</v>
      </c>
      <c r="B836" s="799" t="s">
        <v>476</v>
      </c>
      <c r="C836" s="800"/>
      <c r="D836" s="199">
        <v>0</v>
      </c>
      <c r="E836" s="203"/>
      <c r="F836" s="199"/>
      <c r="G836" s="86"/>
      <c r="H836" s="87"/>
      <c r="I836" s="87"/>
    </row>
    <row r="837" spans="1:9" s="17" customFormat="1" ht="16.5" customHeight="1" x14ac:dyDescent="0.2">
      <c r="A837" s="536"/>
      <c r="B837" s="738" t="s">
        <v>271</v>
      </c>
      <c r="C837" s="739"/>
      <c r="D837" s="199"/>
      <c r="E837" s="505">
        <f>8365.1+1630.16+87.11+18094.65+236.32+286</f>
        <v>28699.340000000004</v>
      </c>
      <c r="F837" s="199"/>
      <c r="G837" s="86"/>
      <c r="H837" s="87"/>
      <c r="I837" s="87"/>
    </row>
    <row r="838" spans="1:9" s="17" customFormat="1" ht="16.5" customHeight="1" x14ac:dyDescent="0.2">
      <c r="A838" s="536"/>
      <c r="B838" s="738" t="s">
        <v>191</v>
      </c>
      <c r="C838" s="739"/>
      <c r="D838" s="199"/>
      <c r="E838" s="212">
        <v>0</v>
      </c>
      <c r="F838" s="199"/>
      <c r="G838" s="86"/>
      <c r="H838" s="87"/>
      <c r="I838" s="87"/>
    </row>
    <row r="839" spans="1:9" s="17" customFormat="1" ht="16.5" customHeight="1" x14ac:dyDescent="0.2">
      <c r="A839" s="536"/>
      <c r="B839" s="738" t="s">
        <v>272</v>
      </c>
      <c r="C839" s="739"/>
      <c r="D839" s="199"/>
      <c r="E839" s="505">
        <f>E725</f>
        <v>72163.7</v>
      </c>
      <c r="F839" s="199"/>
      <c r="G839" s="86"/>
      <c r="H839" s="87"/>
      <c r="I839" s="87"/>
    </row>
    <row r="840" spans="1:9" s="17" customFormat="1" ht="16.5" customHeight="1" x14ac:dyDescent="0.2">
      <c r="A840" s="536"/>
      <c r="B840" s="738" t="s">
        <v>160</v>
      </c>
      <c r="C840" s="739"/>
      <c r="D840" s="199"/>
      <c r="E840" s="212">
        <v>0</v>
      </c>
      <c r="F840" s="199">
        <v>0</v>
      </c>
      <c r="G840" s="86"/>
      <c r="H840" s="87"/>
      <c r="I840" s="87"/>
    </row>
    <row r="841" spans="1:9" s="17" customFormat="1" ht="16.5" customHeight="1" x14ac:dyDescent="0.2">
      <c r="A841" s="213"/>
      <c r="B841" s="790" t="s">
        <v>84</v>
      </c>
      <c r="C841" s="791"/>
      <c r="D841" s="457">
        <f>D739+D748+D752+D765+D774+D783+D792+D796+D799+D804+D821+D825+D829+D831+D837+D838+D839+D840</f>
        <v>3075769.3899999997</v>
      </c>
      <c r="E841" s="457">
        <f>E739+E748+E752+E765+E774+E783+E792+E796+E799+E804+E821+E825+E829+E831+E837+E838+E839+E840</f>
        <v>5236363.04</v>
      </c>
      <c r="F841" s="457">
        <f>F739+F748+F752+F765+F774+F783+F792+F796+F799+F804+F821+F825+F829+F831+F837+F838+F839+F840</f>
        <v>3772288.73</v>
      </c>
      <c r="G841" s="148">
        <f>F841/D841</f>
        <v>1.22645369391624</v>
      </c>
      <c r="H841" s="137">
        <f>F841/E841</f>
        <v>0.72040244367777828</v>
      </c>
      <c r="I841" s="137">
        <f>I739+I748+I752+I765+I774+I783+I792+I799+I804+I821+I825+I829+I831</f>
        <v>1</v>
      </c>
    </row>
    <row r="842" spans="1:9" s="17" customFormat="1" ht="16.5" customHeight="1" x14ac:dyDescent="0.2">
      <c r="A842" s="21"/>
      <c r="B842" s="21"/>
      <c r="C842" s="21"/>
      <c r="D842" s="21"/>
      <c r="E842" s="21"/>
      <c r="F842" s="21"/>
      <c r="G842" s="21"/>
      <c r="H842" s="21"/>
      <c r="I842" s="21"/>
    </row>
    <row r="843" spans="1:9" s="17" customFormat="1" ht="16.5" customHeight="1" x14ac:dyDescent="0.2">
      <c r="A843" s="528"/>
      <c r="B843" s="811" t="s">
        <v>676</v>
      </c>
      <c r="C843" s="811"/>
      <c r="D843" s="811"/>
      <c r="E843" s="811"/>
      <c r="F843" s="811"/>
      <c r="G843" s="811"/>
      <c r="H843" s="811"/>
      <c r="I843" s="811"/>
    </row>
    <row r="844" spans="1:9" s="17" customFormat="1" ht="16.5" customHeight="1" x14ac:dyDescent="0.2">
      <c r="A844" s="811" t="s">
        <v>677</v>
      </c>
      <c r="B844" s="811"/>
      <c r="C844" s="811"/>
      <c r="D844" s="811"/>
      <c r="E844" s="811"/>
      <c r="F844" s="811"/>
      <c r="G844" s="811"/>
      <c r="H844" s="811"/>
      <c r="I844" s="811"/>
    </row>
    <row r="845" spans="1:9" s="17" customFormat="1" ht="16.5" customHeight="1" x14ac:dyDescent="0.2">
      <c r="A845" s="658"/>
      <c r="B845" s="658" t="s">
        <v>663</v>
      </c>
      <c r="C845" s="658"/>
      <c r="D845" s="658"/>
      <c r="E845" s="658"/>
      <c r="F845" s="658"/>
      <c r="G845" s="658"/>
      <c r="H845" s="658"/>
      <c r="I845" s="657"/>
    </row>
    <row r="846" spans="1:9" s="17" customFormat="1" ht="16.5" customHeight="1" x14ac:dyDescent="0.2">
      <c r="A846" s="658" t="s">
        <v>664</v>
      </c>
      <c r="B846" s="658"/>
      <c r="C846" s="658"/>
      <c r="D846" s="658"/>
      <c r="E846" s="658"/>
      <c r="F846" s="658"/>
      <c r="G846" s="658"/>
      <c r="H846" s="658"/>
      <c r="I846" s="657"/>
    </row>
    <row r="847" spans="1:9" s="17" customFormat="1" ht="16.5" customHeight="1" x14ac:dyDescent="0.2">
      <c r="A847" s="658" t="s">
        <v>665</v>
      </c>
      <c r="B847" s="658"/>
      <c r="C847" s="658"/>
      <c r="D847" s="658"/>
      <c r="E847" s="658"/>
      <c r="F847" s="658"/>
      <c r="G847" s="658"/>
      <c r="H847" s="658"/>
      <c r="I847" s="657"/>
    </row>
    <row r="848" spans="1:9" s="17" customFormat="1" ht="16.5" customHeight="1" x14ac:dyDescent="0.2">
      <c r="A848" s="658" t="s">
        <v>666</v>
      </c>
      <c r="B848" s="658"/>
      <c r="C848" s="658"/>
      <c r="D848" s="658"/>
      <c r="E848" s="658"/>
      <c r="F848" s="658"/>
      <c r="G848" s="658"/>
      <c r="H848" s="658"/>
      <c r="I848" s="657"/>
    </row>
    <row r="849" spans="1:9" s="17" customFormat="1" ht="16.5" customHeight="1" x14ac:dyDescent="0.2">
      <c r="A849" s="658" t="s">
        <v>667</v>
      </c>
      <c r="B849" s="658"/>
      <c r="C849" s="658"/>
      <c r="D849" s="658"/>
      <c r="E849" s="658"/>
      <c r="F849" s="658"/>
      <c r="G849" s="658"/>
      <c r="H849" s="658"/>
      <c r="I849" s="657"/>
    </row>
    <row r="850" spans="1:9" s="17" customFormat="1" ht="16.5" customHeight="1" x14ac:dyDescent="0.2">
      <c r="A850" s="658" t="s">
        <v>668</v>
      </c>
      <c r="B850" s="658"/>
      <c r="C850" s="658"/>
      <c r="D850" s="658"/>
      <c r="E850" s="658"/>
      <c r="F850" s="658"/>
      <c r="G850" s="658"/>
      <c r="H850" s="658"/>
      <c r="I850" s="657"/>
    </row>
    <row r="851" spans="1:9" s="17" customFormat="1" ht="16.5" customHeight="1" x14ac:dyDescent="0.2">
      <c r="A851" s="658" t="s">
        <v>669</v>
      </c>
      <c r="B851" s="658"/>
      <c r="C851" s="658"/>
      <c r="D851" s="658"/>
      <c r="E851" s="658"/>
      <c r="F851" s="658"/>
      <c r="G851" s="658"/>
      <c r="H851" s="658"/>
      <c r="I851" s="657"/>
    </row>
    <row r="852" spans="1:9" s="17" customFormat="1" ht="16.5" customHeight="1" x14ac:dyDescent="0.2">
      <c r="A852" s="658" t="s">
        <v>1046</v>
      </c>
      <c r="B852" s="658"/>
      <c r="C852" s="658"/>
      <c r="D852" s="658"/>
      <c r="E852" s="658"/>
      <c r="F852" s="658"/>
      <c r="G852" s="658"/>
      <c r="H852" s="658"/>
      <c r="I852" s="657"/>
    </row>
    <row r="853" spans="1:9" s="17" customFormat="1" ht="16.5" customHeight="1" x14ac:dyDescent="0.2">
      <c r="A853" s="658" t="s">
        <v>670</v>
      </c>
      <c r="B853" s="658"/>
      <c r="C853" s="658"/>
      <c r="D853" s="658"/>
      <c r="E853" s="658"/>
      <c r="F853" s="658"/>
      <c r="G853" s="658"/>
      <c r="H853" s="658"/>
      <c r="I853" s="657"/>
    </row>
    <row r="854" spans="1:9" s="17" customFormat="1" ht="16.5" customHeight="1" x14ac:dyDescent="0.2">
      <c r="A854" s="658" t="s">
        <v>671</v>
      </c>
      <c r="B854" s="658"/>
      <c r="C854" s="658"/>
      <c r="D854" s="658"/>
      <c r="E854" s="658"/>
      <c r="F854" s="658"/>
      <c r="G854" s="658"/>
      <c r="H854" s="658"/>
      <c r="I854" s="657"/>
    </row>
    <row r="855" spans="1:9" s="17" customFormat="1" ht="16.5" customHeight="1" x14ac:dyDescent="0.2">
      <c r="A855" s="658" t="s">
        <v>672</v>
      </c>
      <c r="B855" s="658"/>
      <c r="C855" s="658"/>
      <c r="D855" s="658"/>
      <c r="E855" s="658"/>
      <c r="F855" s="658"/>
      <c r="G855" s="658"/>
      <c r="H855" s="658"/>
      <c r="I855" s="657"/>
    </row>
    <row r="856" spans="1:9" s="17" customFormat="1" ht="16.5" customHeight="1" x14ac:dyDescent="0.2">
      <c r="A856" s="658" t="s">
        <v>673</v>
      </c>
      <c r="B856" s="658"/>
      <c r="C856" s="658"/>
      <c r="D856" s="658"/>
      <c r="E856" s="658"/>
      <c r="F856" s="658"/>
      <c r="G856" s="658"/>
      <c r="H856" s="658"/>
      <c r="I856" s="657"/>
    </row>
    <row r="857" spans="1:9" s="17" customFormat="1" ht="16.5" customHeight="1" x14ac:dyDescent="0.2">
      <c r="A857" s="658" t="s">
        <v>674</v>
      </c>
      <c r="B857" s="658"/>
      <c r="C857" s="658"/>
      <c r="D857" s="658"/>
      <c r="E857" s="658"/>
      <c r="F857" s="658"/>
      <c r="G857" s="658"/>
      <c r="H857" s="658"/>
      <c r="I857" s="657"/>
    </row>
    <row r="858" spans="1:9" s="17" customFormat="1" ht="16.5" customHeight="1" x14ac:dyDescent="0.2">
      <c r="A858" s="657" t="s">
        <v>675</v>
      </c>
      <c r="B858" s="657"/>
      <c r="C858" s="657"/>
      <c r="D858" s="657"/>
      <c r="E858" s="657"/>
      <c r="F858" s="657"/>
      <c r="G858" s="657"/>
      <c r="H858" s="657"/>
      <c r="I858" s="657"/>
    </row>
    <row r="859" spans="1:9" s="17" customFormat="1" ht="16.5" customHeight="1" x14ac:dyDescent="0.2">
      <c r="A859" s="657"/>
      <c r="B859" s="657"/>
      <c r="C859" s="657"/>
      <c r="D859" s="657"/>
      <c r="E859" s="657"/>
      <c r="F859" s="657"/>
      <c r="G859" s="657"/>
      <c r="H859" s="657"/>
      <c r="I859" s="657"/>
    </row>
    <row r="860" spans="1:9" s="17" customFormat="1" ht="16.5" customHeight="1" x14ac:dyDescent="0.2">
      <c r="A860" s="657"/>
      <c r="B860" s="657"/>
      <c r="C860" s="657"/>
      <c r="D860" s="657"/>
      <c r="E860" s="657"/>
      <c r="F860" s="657"/>
      <c r="G860" s="657"/>
      <c r="H860" s="657"/>
      <c r="I860" s="657"/>
    </row>
    <row r="861" spans="1:9" s="17" customFormat="1" ht="16.5" customHeight="1" x14ac:dyDescent="0.2">
      <c r="A861" s="657"/>
      <c r="B861" s="657"/>
      <c r="C861" s="657"/>
      <c r="D861" s="657"/>
      <c r="E861" s="657"/>
      <c r="F861" s="657"/>
      <c r="G861" s="657"/>
      <c r="H861" s="657"/>
      <c r="I861" s="657"/>
    </row>
    <row r="862" spans="1:9" s="17" customFormat="1" ht="16.5" customHeight="1" x14ac:dyDescent="0.2">
      <c r="A862" s="714" t="s">
        <v>414</v>
      </c>
      <c r="B862" s="714"/>
      <c r="C862" s="714"/>
      <c r="D862" s="714"/>
      <c r="E862" s="714"/>
      <c r="F862" s="714"/>
      <c r="G862" s="714"/>
      <c r="H862" s="714"/>
      <c r="I862" s="714"/>
    </row>
    <row r="863" spans="1:9" s="17" customFormat="1" ht="16.5" customHeight="1" x14ac:dyDescent="0.2">
      <c r="A863" s="523"/>
      <c r="B863" s="523"/>
      <c r="C863" s="523"/>
      <c r="D863" s="523"/>
      <c r="E863" s="701" t="s">
        <v>85</v>
      </c>
      <c r="F863" s="523"/>
      <c r="G863" s="523"/>
      <c r="H863" s="523"/>
      <c r="I863" s="523"/>
    </row>
    <row r="864" spans="1:9" s="17" customFormat="1" ht="16.5" customHeight="1" x14ac:dyDescent="0.2">
      <c r="A864" s="192"/>
      <c r="B864" s="214"/>
      <c r="C864" s="15"/>
      <c r="D864" s="537"/>
      <c r="E864" s="701"/>
      <c r="F864" s="537"/>
      <c r="G864" s="192"/>
      <c r="H864" s="537"/>
      <c r="I864" s="537"/>
    </row>
    <row r="865" spans="1:9" s="17" customFormat="1" ht="16.5" customHeight="1" x14ac:dyDescent="0.2">
      <c r="A865" s="572" t="s">
        <v>48</v>
      </c>
      <c r="B865" s="702" t="s">
        <v>49</v>
      </c>
      <c r="C865" s="703"/>
      <c r="D865" s="380" t="s">
        <v>86</v>
      </c>
      <c r="E865" s="530" t="s">
        <v>152</v>
      </c>
      <c r="F865" s="40" t="s">
        <v>87</v>
      </c>
      <c r="G865" s="706" t="s">
        <v>52</v>
      </c>
      <c r="H865" s="707"/>
      <c r="I865" s="708" t="s">
        <v>53</v>
      </c>
    </row>
    <row r="866" spans="1:9" s="17" customFormat="1" ht="16.5" customHeight="1" x14ac:dyDescent="0.2">
      <c r="A866" s="23" t="s">
        <v>54</v>
      </c>
      <c r="B866" s="704"/>
      <c r="C866" s="705"/>
      <c r="D866" s="381" t="s">
        <v>541</v>
      </c>
      <c r="E866" s="41" t="s">
        <v>573</v>
      </c>
      <c r="F866" s="41" t="s">
        <v>607</v>
      </c>
      <c r="G866" s="24" t="s">
        <v>55</v>
      </c>
      <c r="H866" s="24" t="s">
        <v>56</v>
      </c>
      <c r="I866" s="709"/>
    </row>
    <row r="867" spans="1:9" s="17" customFormat="1" ht="16.5" customHeight="1" x14ac:dyDescent="0.2">
      <c r="A867" s="150">
        <v>1</v>
      </c>
      <c r="B867" s="807">
        <v>2</v>
      </c>
      <c r="C867" s="808"/>
      <c r="D867" s="152">
        <v>3</v>
      </c>
      <c r="E867" s="153">
        <v>4</v>
      </c>
      <c r="F867" s="153">
        <v>5</v>
      </c>
      <c r="G867" s="153">
        <v>6</v>
      </c>
      <c r="H867" s="153">
        <v>7</v>
      </c>
      <c r="I867" s="154">
        <v>8</v>
      </c>
    </row>
    <row r="868" spans="1:9" s="17" customFormat="1" ht="16.5" customHeight="1" x14ac:dyDescent="0.2">
      <c r="A868" s="549">
        <v>16019</v>
      </c>
      <c r="B868" s="819" t="s">
        <v>57</v>
      </c>
      <c r="C868" s="820"/>
      <c r="D868" s="359">
        <v>33663.519999999997</v>
      </c>
      <c r="E868" s="506">
        <v>47500</v>
      </c>
      <c r="F868" s="359">
        <v>42415.51</v>
      </c>
      <c r="G868" s="351">
        <f t="shared" ref="G868:G885" si="76">F868/D868</f>
        <v>1.2599843985418044</v>
      </c>
      <c r="H868" s="351">
        <f t="shared" ref="H868:H885" si="77">F868/E868</f>
        <v>0.89295810526315789</v>
      </c>
      <c r="I868" s="352">
        <f>F868/F905</f>
        <v>1.1243972303254742E-2</v>
      </c>
    </row>
    <row r="869" spans="1:9" s="17" customFormat="1" ht="16.5" customHeight="1" x14ac:dyDescent="0.2">
      <c r="A869" s="549">
        <v>163</v>
      </c>
      <c r="B869" s="819" t="s">
        <v>17</v>
      </c>
      <c r="C869" s="820"/>
      <c r="D869" s="360">
        <f>D870+D871+D872</f>
        <v>728453.75</v>
      </c>
      <c r="E869" s="360">
        <f>E870+E871+E872</f>
        <v>2386458.52</v>
      </c>
      <c r="F869" s="360">
        <f>F870+F871+F872</f>
        <v>1734541.78</v>
      </c>
      <c r="G869" s="351">
        <f t="shared" si="76"/>
        <v>2.3811282185039202</v>
      </c>
      <c r="H869" s="351">
        <f t="shared" si="77"/>
        <v>0.72682670386410064</v>
      </c>
      <c r="I869" s="354">
        <f>F869/F905</f>
        <v>0.45981151076948457</v>
      </c>
    </row>
    <row r="870" spans="1:9" s="17" customFormat="1" ht="16.5" customHeight="1" x14ac:dyDescent="0.2">
      <c r="A870" s="217">
        <v>16319</v>
      </c>
      <c r="B870" s="801" t="s">
        <v>166</v>
      </c>
      <c r="C870" s="802"/>
      <c r="D870" s="215">
        <v>724486.86</v>
      </c>
      <c r="E870" s="365">
        <v>2377158.52</v>
      </c>
      <c r="F870" s="215">
        <v>1728664.95</v>
      </c>
      <c r="G870" s="143">
        <f t="shared" si="76"/>
        <v>2.3860542481060318</v>
      </c>
      <c r="H870" s="143">
        <f t="shared" si="77"/>
        <v>0.72719801201982948</v>
      </c>
      <c r="I870" s="76">
        <f>F870/F869</f>
        <v>0.99661188328366468</v>
      </c>
    </row>
    <row r="871" spans="1:9" s="17" customFormat="1" ht="16.5" customHeight="1" x14ac:dyDescent="0.2">
      <c r="A871" s="217">
        <v>16519</v>
      </c>
      <c r="B871" s="801" t="s">
        <v>167</v>
      </c>
      <c r="C871" s="802"/>
      <c r="D871" s="157">
        <v>1738.92</v>
      </c>
      <c r="E871" s="365">
        <v>6500</v>
      </c>
      <c r="F871" s="157">
        <v>4602.83</v>
      </c>
      <c r="G871" s="143">
        <f t="shared" si="76"/>
        <v>2.6469475306512087</v>
      </c>
      <c r="H871" s="143">
        <f t="shared" si="77"/>
        <v>0.70812769230769235</v>
      </c>
      <c r="I871" s="76">
        <f>F871/F869</f>
        <v>2.6536287871947368E-3</v>
      </c>
    </row>
    <row r="872" spans="1:9" s="17" customFormat="1" ht="16.5" customHeight="1" x14ac:dyDescent="0.2">
      <c r="A872" s="217">
        <v>16559</v>
      </c>
      <c r="B872" s="801" t="s">
        <v>168</v>
      </c>
      <c r="C872" s="802"/>
      <c r="D872" s="157">
        <v>2227.9699999999998</v>
      </c>
      <c r="E872" s="365">
        <v>2800</v>
      </c>
      <c r="F872" s="157">
        <v>1274</v>
      </c>
      <c r="G872" s="143">
        <f t="shared" si="76"/>
        <v>0.57182098502223999</v>
      </c>
      <c r="H872" s="143">
        <f t="shared" si="77"/>
        <v>0.45500000000000002</v>
      </c>
      <c r="I872" s="76">
        <f>F872/F869</f>
        <v>7.3448792914057104E-4</v>
      </c>
    </row>
    <row r="873" spans="1:9" s="17" customFormat="1" ht="16.5" customHeight="1" x14ac:dyDescent="0.2">
      <c r="A873" s="549">
        <v>16637</v>
      </c>
      <c r="B873" s="819" t="s">
        <v>64</v>
      </c>
      <c r="C873" s="820"/>
      <c r="D873" s="359">
        <v>40865.9</v>
      </c>
      <c r="E873" s="363">
        <v>73500</v>
      </c>
      <c r="F873" s="359">
        <v>70500</v>
      </c>
      <c r="G873" s="351">
        <f t="shared" si="76"/>
        <v>1.7251547133429093</v>
      </c>
      <c r="H873" s="351">
        <f t="shared" si="77"/>
        <v>0.95918367346938771</v>
      </c>
      <c r="I873" s="354">
        <f>F873/F905</f>
        <v>1.8688919392445342E-2</v>
      </c>
    </row>
    <row r="874" spans="1:9" s="17" customFormat="1" ht="16.5" customHeight="1" x14ac:dyDescent="0.2">
      <c r="A874" s="549">
        <v>16795</v>
      </c>
      <c r="B874" s="578" t="s">
        <v>65</v>
      </c>
      <c r="C874" s="579"/>
      <c r="D874" s="359">
        <v>300</v>
      </c>
      <c r="E874" s="363">
        <v>1000</v>
      </c>
      <c r="F874" s="359">
        <v>970</v>
      </c>
      <c r="G874" s="351">
        <f t="shared" si="76"/>
        <v>3.2333333333333334</v>
      </c>
      <c r="H874" s="351">
        <f t="shared" si="77"/>
        <v>0.97</v>
      </c>
      <c r="I874" s="354">
        <f>F874/F905</f>
        <v>2.5713832355563093E-4</v>
      </c>
    </row>
    <row r="875" spans="1:9" s="17" customFormat="1" ht="16.5" customHeight="1" x14ac:dyDescent="0.2">
      <c r="A875" s="549">
        <v>16919</v>
      </c>
      <c r="B875" s="819" t="s">
        <v>66</v>
      </c>
      <c r="C875" s="820"/>
      <c r="D875" s="359">
        <v>7168.2</v>
      </c>
      <c r="E875" s="363">
        <v>54000</v>
      </c>
      <c r="F875" s="359">
        <v>15976.76</v>
      </c>
      <c r="G875" s="351">
        <f t="shared" si="76"/>
        <v>2.2288384810691668</v>
      </c>
      <c r="H875" s="351">
        <f t="shared" si="77"/>
        <v>0.29586592592592592</v>
      </c>
      <c r="I875" s="354">
        <f>F875/F905</f>
        <v>4.2352961672687236E-3</v>
      </c>
    </row>
    <row r="876" spans="1:9" s="17" customFormat="1" ht="16.5" customHeight="1" x14ac:dyDescent="0.2">
      <c r="A876" s="549">
        <v>17519</v>
      </c>
      <c r="B876" s="819" t="s">
        <v>25</v>
      </c>
      <c r="C876" s="820"/>
      <c r="D876" s="359">
        <v>48671.46</v>
      </c>
      <c r="E876" s="363">
        <v>51899.65</v>
      </c>
      <c r="F876" s="359">
        <v>48071.31</v>
      </c>
      <c r="G876" s="351">
        <f t="shared" si="76"/>
        <v>0.98766936516800607</v>
      </c>
      <c r="H876" s="351">
        <f t="shared" si="77"/>
        <v>0.92623572605980953</v>
      </c>
      <c r="I876" s="354">
        <f>F876/F905</f>
        <v>1.2743274293322717E-2</v>
      </c>
    </row>
    <row r="877" spans="1:9" s="17" customFormat="1" ht="16.5" customHeight="1" x14ac:dyDescent="0.2">
      <c r="A877" s="549">
        <v>180</v>
      </c>
      <c r="B877" s="819" t="s">
        <v>273</v>
      </c>
      <c r="C877" s="820"/>
      <c r="D877" s="360">
        <f>D878+D879</f>
        <v>507699.1</v>
      </c>
      <c r="E877" s="360">
        <f t="shared" ref="E877" si="78">E878+E879</f>
        <v>728500</v>
      </c>
      <c r="F877" s="360">
        <f>F878+F879</f>
        <v>653722.27</v>
      </c>
      <c r="G877" s="351">
        <f t="shared" si="76"/>
        <v>1.2876175474803877</v>
      </c>
      <c r="H877" s="351">
        <f t="shared" si="77"/>
        <v>0.89735383665065205</v>
      </c>
      <c r="I877" s="354">
        <f>F877/F905</f>
        <v>0.17329592636987787</v>
      </c>
    </row>
    <row r="878" spans="1:9" s="17" customFormat="1" ht="16.5" customHeight="1" x14ac:dyDescent="0.2">
      <c r="A878" s="217">
        <v>18019</v>
      </c>
      <c r="B878" s="801" t="s">
        <v>170</v>
      </c>
      <c r="C878" s="802"/>
      <c r="D878" s="157">
        <v>479102.23</v>
      </c>
      <c r="E878" s="365">
        <v>682000</v>
      </c>
      <c r="F878" s="157">
        <v>618048.6</v>
      </c>
      <c r="G878" s="143">
        <f t="shared" si="76"/>
        <v>1.2900140331219081</v>
      </c>
      <c r="H878" s="143">
        <f t="shared" si="77"/>
        <v>0.90622961876832842</v>
      </c>
      <c r="I878" s="76">
        <f>F878/F877</f>
        <v>0.94542993005271181</v>
      </c>
    </row>
    <row r="879" spans="1:9" s="17" customFormat="1" ht="16.5" customHeight="1" x14ac:dyDescent="0.2">
      <c r="A879" s="217">
        <v>18295</v>
      </c>
      <c r="B879" s="801" t="s">
        <v>171</v>
      </c>
      <c r="C879" s="802"/>
      <c r="D879" s="157">
        <v>28596.87</v>
      </c>
      <c r="E879" s="365">
        <v>46500</v>
      </c>
      <c r="F879" s="157">
        <v>35673.67</v>
      </c>
      <c r="G879" s="143">
        <f t="shared" si="76"/>
        <v>1.2474676424377913</v>
      </c>
      <c r="H879" s="143">
        <f t="shared" si="77"/>
        <v>0.76717569892473114</v>
      </c>
      <c r="I879" s="76">
        <f>F879/F877</f>
        <v>5.4570069947288163E-2</v>
      </c>
    </row>
    <row r="880" spans="1:9" s="17" customFormat="1" ht="16.5" customHeight="1" x14ac:dyDescent="0.2">
      <c r="A880" s="549">
        <v>19595</v>
      </c>
      <c r="B880" s="819" t="s">
        <v>172</v>
      </c>
      <c r="C880" s="820"/>
      <c r="D880" s="359">
        <v>3822.02</v>
      </c>
      <c r="E880" s="363">
        <v>13500</v>
      </c>
      <c r="F880" s="359">
        <v>7653.9</v>
      </c>
      <c r="G880" s="351">
        <f t="shared" si="76"/>
        <v>2.0025797876515559</v>
      </c>
      <c r="H880" s="351">
        <f t="shared" si="77"/>
        <v>0.56695555555555555</v>
      </c>
      <c r="I880" s="354">
        <f>F880/F905</f>
        <v>2.0289804274870554E-3</v>
      </c>
    </row>
    <row r="881" spans="1:9" s="17" customFormat="1" ht="16.5" customHeight="1" x14ac:dyDescent="0.2">
      <c r="A881" s="549">
        <v>47019</v>
      </c>
      <c r="B881" s="819" t="s">
        <v>71</v>
      </c>
      <c r="C881" s="820"/>
      <c r="D881" s="359">
        <v>8567.1200000000008</v>
      </c>
      <c r="E881" s="363">
        <v>69000</v>
      </c>
      <c r="F881" s="359">
        <v>7876.8</v>
      </c>
      <c r="G881" s="351">
        <f t="shared" si="76"/>
        <v>0.91942216287387124</v>
      </c>
      <c r="H881" s="351">
        <f t="shared" si="77"/>
        <v>0.11415652173913043</v>
      </c>
      <c r="I881" s="354">
        <f>F881/F905</f>
        <v>2.088069223693808E-3</v>
      </c>
    </row>
    <row r="882" spans="1:9" s="17" customFormat="1" ht="16.5" customHeight="1" x14ac:dyDescent="0.2">
      <c r="A882" s="549">
        <v>48019</v>
      </c>
      <c r="B882" s="819" t="s">
        <v>72</v>
      </c>
      <c r="C882" s="820"/>
      <c r="D882" s="359">
        <v>98391.63</v>
      </c>
      <c r="E882" s="363">
        <v>66168.47</v>
      </c>
      <c r="F882" s="359">
        <v>55369.88</v>
      </c>
      <c r="G882" s="351">
        <f t="shared" si="76"/>
        <v>0.56274990057589247</v>
      </c>
      <c r="H882" s="351">
        <f t="shared" si="77"/>
        <v>0.83680157633990926</v>
      </c>
      <c r="I882" s="354">
        <f>F882/F905</f>
        <v>1.4678059916161296E-2</v>
      </c>
    </row>
    <row r="883" spans="1:9" s="17" customFormat="1" ht="16.5" customHeight="1" x14ac:dyDescent="0.2">
      <c r="A883" s="549">
        <v>650</v>
      </c>
      <c r="B883" s="819" t="s">
        <v>31</v>
      </c>
      <c r="C883" s="820"/>
      <c r="D883" s="372">
        <f>D884+D885</f>
        <v>4696.84</v>
      </c>
      <c r="E883" s="372">
        <f>E884+E885</f>
        <v>10000</v>
      </c>
      <c r="F883" s="372">
        <f>F884+F885</f>
        <v>4690.3099999999995</v>
      </c>
      <c r="G883" s="351">
        <f t="shared" si="76"/>
        <v>0.99860970354536227</v>
      </c>
      <c r="H883" s="351">
        <f t="shared" si="77"/>
        <v>0.46903099999999998</v>
      </c>
      <c r="I883" s="354">
        <f>F883/F905</f>
        <v>1.2433592271713517E-3</v>
      </c>
    </row>
    <row r="884" spans="1:9" s="17" customFormat="1" ht="16.5" customHeight="1" x14ac:dyDescent="0.2">
      <c r="A884" s="217">
        <v>65095</v>
      </c>
      <c r="B884" s="801" t="s">
        <v>173</v>
      </c>
      <c r="C884" s="802"/>
      <c r="D884" s="157">
        <v>2642.84</v>
      </c>
      <c r="E884" s="365">
        <v>6000</v>
      </c>
      <c r="F884" s="157">
        <v>3213.71</v>
      </c>
      <c r="G884" s="143">
        <f t="shared" si="76"/>
        <v>1.2160062659865902</v>
      </c>
      <c r="H884" s="143">
        <f t="shared" si="77"/>
        <v>0.53561833333333331</v>
      </c>
      <c r="I884" s="76">
        <f>F884/F883</f>
        <v>0.68518072366218874</v>
      </c>
    </row>
    <row r="885" spans="1:9" s="17" customFormat="1" ht="16.5" customHeight="1" x14ac:dyDescent="0.2">
      <c r="A885" s="217">
        <v>65495</v>
      </c>
      <c r="B885" s="801" t="s">
        <v>174</v>
      </c>
      <c r="C885" s="802"/>
      <c r="D885" s="102">
        <v>2054</v>
      </c>
      <c r="E885" s="365">
        <v>4000</v>
      </c>
      <c r="F885" s="102">
        <v>1476.6</v>
      </c>
      <c r="G885" s="143">
        <f t="shared" si="76"/>
        <v>0.71888997078870487</v>
      </c>
      <c r="H885" s="143">
        <f t="shared" si="77"/>
        <v>0.36914999999999998</v>
      </c>
      <c r="I885" s="76">
        <f>F885/F883</f>
        <v>0.31481927633781137</v>
      </c>
    </row>
    <row r="886" spans="1:9" s="17" customFormat="1" ht="16.5" customHeight="1" x14ac:dyDescent="0.2">
      <c r="A886" s="187"/>
      <c r="B886" s="539"/>
      <c r="C886" s="539"/>
      <c r="D886" s="413"/>
      <c r="E886" s="414"/>
      <c r="F886" s="413"/>
      <c r="G886" s="415"/>
      <c r="H886" s="415"/>
      <c r="I886" s="681">
        <v>14</v>
      </c>
    </row>
    <row r="887" spans="1:9" s="17" customFormat="1" ht="16.5" customHeight="1" x14ac:dyDescent="0.2">
      <c r="A887" s="187"/>
      <c r="B887" s="539"/>
      <c r="C887" s="539"/>
      <c r="D887" s="413"/>
      <c r="E887" s="414"/>
      <c r="F887" s="413"/>
      <c r="G887" s="415"/>
      <c r="H887" s="415"/>
      <c r="I887" s="416"/>
    </row>
    <row r="888" spans="1:9" s="17" customFormat="1" ht="16.5" customHeight="1" x14ac:dyDescent="0.2">
      <c r="A888" s="187"/>
      <c r="B888" s="539"/>
      <c r="C888" s="539"/>
      <c r="D888" s="413"/>
      <c r="E888" s="414"/>
      <c r="F888" s="413"/>
      <c r="G888" s="415"/>
      <c r="H888" s="415"/>
      <c r="I888" s="416"/>
    </row>
    <row r="889" spans="1:9" s="17" customFormat="1" ht="16.5" customHeight="1" x14ac:dyDescent="0.2">
      <c r="A889" s="187"/>
      <c r="B889" s="539"/>
      <c r="C889" s="539"/>
      <c r="D889" s="413"/>
      <c r="E889" s="414"/>
      <c r="F889" s="413"/>
      <c r="G889" s="415"/>
      <c r="H889" s="415"/>
      <c r="I889" s="416"/>
    </row>
    <row r="890" spans="1:9" s="17" customFormat="1" ht="16.5" customHeight="1" x14ac:dyDescent="0.2">
      <c r="I890" s="575"/>
    </row>
    <row r="891" spans="1:9" s="17" customFormat="1" ht="16.5" customHeight="1" x14ac:dyDescent="0.2">
      <c r="A891" s="549">
        <v>66100</v>
      </c>
      <c r="B891" s="819" t="s">
        <v>74</v>
      </c>
      <c r="C891" s="820"/>
      <c r="D891" s="370">
        <v>10923.24</v>
      </c>
      <c r="E891" s="363">
        <v>16000</v>
      </c>
      <c r="F891" s="370">
        <v>11690.21</v>
      </c>
      <c r="G891" s="351">
        <f t="shared" ref="G891:G905" si="79">F891/D891</f>
        <v>1.0702145151072391</v>
      </c>
      <c r="H891" s="351">
        <f t="shared" ref="H891:H905" si="80">F891/E891</f>
        <v>0.73063812499999992</v>
      </c>
      <c r="I891" s="354">
        <f>F891/F905</f>
        <v>3.098970104549765E-3</v>
      </c>
    </row>
    <row r="892" spans="1:9" s="17" customFormat="1" ht="16.5" customHeight="1" x14ac:dyDescent="0.2">
      <c r="A892" s="549">
        <v>730</v>
      </c>
      <c r="B892" s="819" t="s">
        <v>75</v>
      </c>
      <c r="C892" s="820"/>
      <c r="D892" s="371">
        <f>D893+D894</f>
        <v>486325.55</v>
      </c>
      <c r="E892" s="371">
        <f t="shared" ref="E892" si="81">E893+E894</f>
        <v>625793.68999999994</v>
      </c>
      <c r="F892" s="371">
        <f>F893+F894</f>
        <v>449409.8</v>
      </c>
      <c r="G892" s="351">
        <f t="shared" si="79"/>
        <v>0.92409251374927759</v>
      </c>
      <c r="H892" s="351">
        <f t="shared" si="80"/>
        <v>0.71814370643462389</v>
      </c>
      <c r="I892" s="357">
        <f>F892/F905</f>
        <v>0.11913451810460968</v>
      </c>
    </row>
    <row r="893" spans="1:9" s="17" customFormat="1" ht="16.5" customHeight="1" x14ac:dyDescent="0.2">
      <c r="A893" s="217">
        <v>73028</v>
      </c>
      <c r="B893" s="801" t="s">
        <v>175</v>
      </c>
      <c r="C893" s="802"/>
      <c r="D893" s="157">
        <v>2109.06</v>
      </c>
      <c r="E893" s="365">
        <v>5000</v>
      </c>
      <c r="F893" s="157">
        <v>3750</v>
      </c>
      <c r="G893" s="143">
        <f t="shared" si="79"/>
        <v>1.7780432989104151</v>
      </c>
      <c r="H893" s="143">
        <f t="shared" si="80"/>
        <v>0.75</v>
      </c>
      <c r="I893" s="76">
        <f>F893/F892</f>
        <v>8.3442773166050224E-3</v>
      </c>
    </row>
    <row r="894" spans="1:9" s="17" customFormat="1" ht="16.5" customHeight="1" x14ac:dyDescent="0.2">
      <c r="A894" s="217">
        <v>74100</v>
      </c>
      <c r="B894" s="801" t="s">
        <v>176</v>
      </c>
      <c r="C894" s="802"/>
      <c r="D894" s="157">
        <v>484216.49</v>
      </c>
      <c r="E894" s="365">
        <v>620793.68999999994</v>
      </c>
      <c r="F894" s="157">
        <v>445659.8</v>
      </c>
      <c r="G894" s="143">
        <f t="shared" si="79"/>
        <v>0.92037303397081749</v>
      </c>
      <c r="H894" s="143">
        <f t="shared" si="80"/>
        <v>0.71788712929733556</v>
      </c>
      <c r="I894" s="76">
        <f>F894/F892</f>
        <v>0.99165572268339497</v>
      </c>
    </row>
    <row r="895" spans="1:9" s="17" customFormat="1" ht="16.5" customHeight="1" x14ac:dyDescent="0.2">
      <c r="A895" s="213">
        <v>75591</v>
      </c>
      <c r="B895" s="819" t="s">
        <v>177</v>
      </c>
      <c r="C895" s="820"/>
      <c r="D895" s="359">
        <v>6589.56</v>
      </c>
      <c r="E895" s="363">
        <v>23700</v>
      </c>
      <c r="F895" s="359">
        <v>14634.97</v>
      </c>
      <c r="G895" s="351">
        <f t="shared" si="79"/>
        <v>2.2209328088673597</v>
      </c>
      <c r="H895" s="351">
        <f t="shared" si="80"/>
        <v>0.61750928270042194</v>
      </c>
      <c r="I895" s="354">
        <f>F895/F905</f>
        <v>3.8795996402958268E-3</v>
      </c>
    </row>
    <row r="896" spans="1:9" s="17" customFormat="1" ht="16.5" customHeight="1" x14ac:dyDescent="0.2">
      <c r="A896" s="645">
        <v>75592</v>
      </c>
      <c r="B896" s="647" t="s">
        <v>590</v>
      </c>
      <c r="C896" s="648"/>
      <c r="D896" s="646">
        <v>0</v>
      </c>
      <c r="E896" s="363">
        <v>45000</v>
      </c>
      <c r="F896" s="359">
        <v>16145.3</v>
      </c>
      <c r="G896" s="351" t="e">
        <f t="shared" si="79"/>
        <v>#DIV/0!</v>
      </c>
      <c r="H896" s="351">
        <f t="shared" si="80"/>
        <v>0.35878444444444441</v>
      </c>
      <c r="I896" s="354">
        <f>F896/F905</f>
        <v>4.279974613714153E-3</v>
      </c>
    </row>
    <row r="897" spans="1:9" s="17" customFormat="1" ht="16.5" customHeight="1" x14ac:dyDescent="0.2">
      <c r="A897" s="549">
        <v>850</v>
      </c>
      <c r="B897" s="819" t="s">
        <v>40</v>
      </c>
      <c r="C897" s="820"/>
      <c r="D897" s="355">
        <f>D898+D899</f>
        <v>150689.25999999998</v>
      </c>
      <c r="E897" s="355">
        <f t="shared" ref="E897:F897" si="82">E898+E899</f>
        <v>102722.12</v>
      </c>
      <c r="F897" s="355">
        <f t="shared" si="82"/>
        <v>55093.729999999996</v>
      </c>
      <c r="G897" s="351">
        <f t="shared" si="79"/>
        <v>0.36561152400642222</v>
      </c>
      <c r="H897" s="351">
        <f t="shared" si="80"/>
        <v>0.53633754832941527</v>
      </c>
      <c r="I897" s="354">
        <f>F897/F905</f>
        <v>1.4604855021264506E-2</v>
      </c>
    </row>
    <row r="898" spans="1:9" s="17" customFormat="1" ht="16.5" customHeight="1" x14ac:dyDescent="0.2">
      <c r="A898" s="184">
        <v>85019</v>
      </c>
      <c r="B898" s="358" t="s">
        <v>379</v>
      </c>
      <c r="C898" s="564"/>
      <c r="D898" s="5">
        <v>146628.01999999999</v>
      </c>
      <c r="E898" s="495">
        <v>85722.12</v>
      </c>
      <c r="F898" s="5">
        <v>44877.13</v>
      </c>
      <c r="G898" s="143">
        <f t="shared" si="79"/>
        <v>0.30606107891247525</v>
      </c>
      <c r="H898" s="143">
        <f t="shared" si="80"/>
        <v>0.52351866706049732</v>
      </c>
      <c r="I898" s="76">
        <f>F898/F897</f>
        <v>0.81455966041870831</v>
      </c>
    </row>
    <row r="899" spans="1:9" s="17" customFormat="1" ht="16.5" customHeight="1" x14ac:dyDescent="0.2">
      <c r="A899" s="184">
        <v>85184</v>
      </c>
      <c r="B899" s="801" t="s">
        <v>380</v>
      </c>
      <c r="C899" s="802"/>
      <c r="D899" s="5">
        <v>4061.24</v>
      </c>
      <c r="E899" s="428">
        <v>17000</v>
      </c>
      <c r="F899" s="5">
        <v>10216.6</v>
      </c>
      <c r="G899" s="143">
        <f t="shared" si="79"/>
        <v>2.5156356186780395</v>
      </c>
      <c r="H899" s="143">
        <f t="shared" si="80"/>
        <v>0.60097647058823533</v>
      </c>
      <c r="I899" s="76">
        <f>F899/F897</f>
        <v>0.18544033958129175</v>
      </c>
    </row>
    <row r="900" spans="1:9" s="17" customFormat="1" ht="16.5" customHeight="1" x14ac:dyDescent="0.2">
      <c r="A900" s="549">
        <v>920</v>
      </c>
      <c r="B900" s="819" t="s">
        <v>79</v>
      </c>
      <c r="C900" s="820"/>
      <c r="D900" s="370">
        <f>D901+D902+D903+D904</f>
        <v>938942.24</v>
      </c>
      <c r="E900" s="370">
        <f t="shared" ref="E900" si="83">E901+E902+E903+E904</f>
        <v>921620.59</v>
      </c>
      <c r="F900" s="430">
        <f>F901+F902+F903+F904</f>
        <v>583526.20000000007</v>
      </c>
      <c r="G900" s="351">
        <f t="shared" si="79"/>
        <v>0.62147188095404049</v>
      </c>
      <c r="H900" s="351">
        <f t="shared" si="80"/>
        <v>0.6331523040300131</v>
      </c>
      <c r="I900" s="354">
        <f>F900/F905</f>
        <v>0.15468757610184311</v>
      </c>
    </row>
    <row r="901" spans="1:9" s="17" customFormat="1" ht="16.5" customHeight="1" x14ac:dyDescent="0.2">
      <c r="A901" s="217">
        <v>92095</v>
      </c>
      <c r="B901" s="801" t="s">
        <v>178</v>
      </c>
      <c r="C901" s="802"/>
      <c r="D901" s="157">
        <v>738802.66</v>
      </c>
      <c r="E901" s="365">
        <v>634094.65</v>
      </c>
      <c r="F901" s="157">
        <v>418141.69</v>
      </c>
      <c r="G901" s="143">
        <f t="shared" si="79"/>
        <v>0.56597209598568576</v>
      </c>
      <c r="H901" s="143">
        <f t="shared" si="80"/>
        <v>0.65943103289075222</v>
      </c>
      <c r="I901" s="76">
        <f>F901/F900</f>
        <v>0.71657740475063492</v>
      </c>
    </row>
    <row r="902" spans="1:9" s="17" customFormat="1" ht="16.5" customHeight="1" x14ac:dyDescent="0.2">
      <c r="A902" s="217">
        <v>92570</v>
      </c>
      <c r="B902" s="801" t="s">
        <v>179</v>
      </c>
      <c r="C902" s="802"/>
      <c r="D902" s="157">
        <v>75769.25</v>
      </c>
      <c r="E902" s="365">
        <v>130236.32</v>
      </c>
      <c r="F902" s="157">
        <v>96183.13</v>
      </c>
      <c r="G902" s="143">
        <f t="shared" si="79"/>
        <v>1.2694216981163204</v>
      </c>
      <c r="H902" s="143">
        <f t="shared" si="80"/>
        <v>0.73852770102840748</v>
      </c>
      <c r="I902" s="76">
        <f>F902/F900</f>
        <v>0.16483086791989801</v>
      </c>
    </row>
    <row r="903" spans="1:9" s="17" customFormat="1" ht="16.5" customHeight="1" x14ac:dyDescent="0.2">
      <c r="A903" s="217">
        <v>93540</v>
      </c>
      <c r="B903" s="801" t="s">
        <v>180</v>
      </c>
      <c r="C903" s="802"/>
      <c r="D903" s="157">
        <v>116697.73</v>
      </c>
      <c r="E903" s="365">
        <v>90005</v>
      </c>
      <c r="F903" s="157">
        <v>51298.49</v>
      </c>
      <c r="G903" s="143">
        <f t="shared" si="79"/>
        <v>0.4395843003972742</v>
      </c>
      <c r="H903" s="143">
        <f t="shared" si="80"/>
        <v>0.56995155824676402</v>
      </c>
      <c r="I903" s="76">
        <f>F903/F900</f>
        <v>8.791120261609503E-2</v>
      </c>
    </row>
    <row r="904" spans="1:9" s="17" customFormat="1" ht="16.5" customHeight="1" x14ac:dyDescent="0.2">
      <c r="A904" s="217">
        <v>94740</v>
      </c>
      <c r="B904" s="801" t="s">
        <v>181</v>
      </c>
      <c r="C904" s="802"/>
      <c r="D904" s="157">
        <v>7672.6</v>
      </c>
      <c r="E904" s="365">
        <v>67284.62</v>
      </c>
      <c r="F904" s="157">
        <v>17902.89</v>
      </c>
      <c r="G904" s="143">
        <f t="shared" si="79"/>
        <v>2.3333537523134269</v>
      </c>
      <c r="H904" s="143">
        <f t="shared" si="80"/>
        <v>0.26607700244127114</v>
      </c>
      <c r="I904" s="76">
        <f>F904/F900</f>
        <v>3.0680524713371904E-2</v>
      </c>
    </row>
    <row r="905" spans="1:9" s="17" customFormat="1" ht="16.5" customHeight="1" x14ac:dyDescent="0.2">
      <c r="A905" s="552"/>
      <c r="B905" s="560" t="s">
        <v>84</v>
      </c>
      <c r="C905" s="561"/>
      <c r="D905" s="459">
        <f>D868+D869+D873+D874+D875+D876+D877+D880+D881+D882+D883+D891+D892+D895+D896+D897+D900</f>
        <v>3075769.3900000006</v>
      </c>
      <c r="E905" s="459">
        <f>E868+E869+E873+E874+E875+E876+E877+E880+E881+E882+E883+E891+E892+E895+E896+E897+E900</f>
        <v>5236363.04</v>
      </c>
      <c r="F905" s="459">
        <f>F868+F869+F873+F874+F875+F876+F877+F880+F881+F882+F883+F891+F892+F895+F896+F897+F900</f>
        <v>3772288.7299999995</v>
      </c>
      <c r="G905" s="148">
        <f t="shared" si="79"/>
        <v>1.2264536939162396</v>
      </c>
      <c r="H905" s="148">
        <f t="shared" si="80"/>
        <v>0.72040244367777817</v>
      </c>
      <c r="I905" s="48">
        <f>I868+I869+I873+I874+I875+I876+I877+I880+I881+I882+I883+I891+I892+I895+I896+I897+I900</f>
        <v>1</v>
      </c>
    </row>
    <row r="906" spans="1:9" s="17" customFormat="1" ht="21" customHeight="1" x14ac:dyDescent="0.2">
      <c r="A906" s="792" t="s">
        <v>415</v>
      </c>
      <c r="B906" s="792"/>
      <c r="C906" s="792"/>
      <c r="D906" s="792"/>
      <c r="E906" s="792"/>
      <c r="F906" s="792"/>
      <c r="G906" s="792"/>
      <c r="H906" s="792"/>
      <c r="I906" s="792"/>
    </row>
    <row r="907" spans="1:9" s="17" customFormat="1" ht="16.5" customHeight="1" x14ac:dyDescent="0.2">
      <c r="A907" s="714" t="s">
        <v>678</v>
      </c>
      <c r="B907" s="714"/>
      <c r="C907" s="714"/>
      <c r="D907" s="714"/>
      <c r="E907" s="714"/>
      <c r="F907" s="714"/>
      <c r="G907" s="714"/>
      <c r="H907" s="714"/>
      <c r="I907" s="714"/>
    </row>
    <row r="908" spans="1:9" s="17" customFormat="1" ht="16.5" customHeight="1" x14ac:dyDescent="0.2">
      <c r="A908" s="721" t="s">
        <v>679</v>
      </c>
      <c r="B908" s="721"/>
      <c r="C908" s="721"/>
      <c r="D908" s="721"/>
      <c r="E908" s="721"/>
      <c r="F908" s="721"/>
      <c r="G908" s="721"/>
      <c r="H908" s="721"/>
      <c r="I908" s="721"/>
    </row>
    <row r="909" spans="1:9" s="17" customFormat="1" ht="16.5" customHeight="1" x14ac:dyDescent="0.2">
      <c r="A909" s="721" t="s">
        <v>680</v>
      </c>
      <c r="B909" s="721"/>
      <c r="C909" s="721"/>
      <c r="D909" s="721"/>
      <c r="E909" s="721"/>
      <c r="F909" s="721"/>
      <c r="G909" s="721"/>
      <c r="H909" s="721"/>
      <c r="I909" s="218"/>
    </row>
    <row r="910" spans="1:9" s="17" customFormat="1" ht="16.5" customHeight="1" x14ac:dyDescent="0.2">
      <c r="A910" s="721" t="s">
        <v>681</v>
      </c>
      <c r="B910" s="721"/>
      <c r="C910" s="721"/>
      <c r="D910" s="721"/>
      <c r="E910" s="721"/>
      <c r="F910" s="721"/>
      <c r="G910" s="721"/>
      <c r="H910" s="721"/>
      <c r="I910" s="218"/>
    </row>
    <row r="911" spans="1:9" s="17" customFormat="1" ht="16.5" customHeight="1" x14ac:dyDescent="0.2">
      <c r="A911" s="714" t="s">
        <v>682</v>
      </c>
      <c r="B911" s="714"/>
      <c r="C911" s="714"/>
      <c r="D911" s="714"/>
      <c r="E911" s="714"/>
      <c r="F911" s="714"/>
      <c r="G911" s="714"/>
      <c r="H911" s="714"/>
      <c r="I911" s="714"/>
    </row>
    <row r="912" spans="1:9" s="17" customFormat="1" ht="16.5" customHeight="1" x14ac:dyDescent="0.2">
      <c r="A912" s="660"/>
      <c r="B912" s="660"/>
      <c r="C912" s="660"/>
      <c r="D912" s="660"/>
      <c r="E912" s="660"/>
      <c r="F912" s="660"/>
      <c r="G912" s="660"/>
      <c r="H912" s="660"/>
      <c r="I912" s="660"/>
    </row>
    <row r="913" spans="1:9" s="17" customFormat="1" ht="16.5" customHeight="1" x14ac:dyDescent="0.2">
      <c r="A913" s="660"/>
      <c r="B913" s="660"/>
      <c r="C913" s="660"/>
      <c r="D913" s="660"/>
      <c r="E913" s="660"/>
      <c r="F913" s="660"/>
      <c r="G913" s="660"/>
      <c r="H913" s="660"/>
      <c r="I913" s="660"/>
    </row>
    <row r="914" spans="1:9" s="17" customFormat="1" ht="16.5" customHeight="1" x14ac:dyDescent="0.2">
      <c r="A914" s="660"/>
      <c r="B914" s="660"/>
      <c r="C914" s="660"/>
      <c r="D914" s="660"/>
      <c r="E914" s="660"/>
      <c r="F914" s="660"/>
      <c r="G914" s="660"/>
      <c r="H914" s="660"/>
      <c r="I914" s="660"/>
    </row>
    <row r="915" spans="1:9" s="17" customFormat="1" ht="16.5" customHeight="1" x14ac:dyDescent="0.2">
      <c r="A915" s="660"/>
      <c r="B915" s="660"/>
      <c r="C915" s="660"/>
      <c r="D915" s="660"/>
      <c r="E915" s="660"/>
      <c r="F915" s="660"/>
      <c r="G915" s="660"/>
      <c r="H915" s="660"/>
      <c r="I915" s="660"/>
    </row>
    <row r="916" spans="1:9" s="17" customFormat="1" ht="16.5" customHeight="1" x14ac:dyDescent="0.2">
      <c r="A916" s="660"/>
      <c r="B916" s="660"/>
      <c r="C916" s="660"/>
      <c r="D916" s="660"/>
      <c r="E916" s="660"/>
      <c r="F916" s="660"/>
      <c r="G916" s="660"/>
      <c r="H916" s="660"/>
      <c r="I916" s="660"/>
    </row>
    <row r="917" spans="1:9" s="17" customFormat="1" ht="16.5" customHeight="1" x14ac:dyDescent="0.2">
      <c r="A917" s="660"/>
      <c r="B917" s="660"/>
      <c r="C917" s="660"/>
      <c r="D917" s="660"/>
      <c r="E917" s="660"/>
      <c r="F917" s="660"/>
      <c r="G917" s="660"/>
      <c r="H917" s="660"/>
      <c r="I917" s="660"/>
    </row>
    <row r="918" spans="1:9" s="17" customFormat="1" ht="16.5" customHeight="1" x14ac:dyDescent="0.2">
      <c r="A918" s="660"/>
      <c r="B918" s="660"/>
      <c r="C918" s="660"/>
      <c r="D918" s="660"/>
      <c r="E918" s="660"/>
      <c r="F918" s="660"/>
      <c r="G918" s="660"/>
      <c r="H918" s="660"/>
      <c r="I918" s="660"/>
    </row>
    <row r="919" spans="1:9" s="17" customFormat="1" ht="16.5" customHeight="1" x14ac:dyDescent="0.2">
      <c r="A919" s="660"/>
      <c r="B919" s="660"/>
      <c r="C919" s="660"/>
      <c r="D919" s="660"/>
      <c r="E919" s="660"/>
      <c r="F919" s="660"/>
      <c r="G919" s="660"/>
      <c r="H919" s="660"/>
      <c r="I919" s="660"/>
    </row>
    <row r="920" spans="1:9" s="17" customFormat="1" ht="16.5" customHeight="1" x14ac:dyDescent="0.2">
      <c r="A920" s="660"/>
      <c r="B920" s="660"/>
      <c r="C920" s="660"/>
      <c r="D920" s="660"/>
      <c r="E920" s="660"/>
      <c r="F920" s="660"/>
      <c r="G920" s="660"/>
      <c r="H920" s="660"/>
      <c r="I920" s="660"/>
    </row>
    <row r="921" spans="1:9" s="17" customFormat="1" ht="16.5" customHeight="1" x14ac:dyDescent="0.2">
      <c r="A921" s="660"/>
      <c r="B921" s="660"/>
      <c r="C921" s="660"/>
      <c r="D921" s="660"/>
      <c r="E921" s="660"/>
      <c r="F921" s="660"/>
      <c r="G921" s="660"/>
      <c r="H921" s="660"/>
      <c r="I921" s="660"/>
    </row>
    <row r="922" spans="1:9" s="17" customFormat="1" ht="16.5" customHeight="1" x14ac:dyDescent="0.2">
      <c r="A922" s="660"/>
      <c r="B922" s="660"/>
      <c r="C922" s="660"/>
      <c r="D922" s="660"/>
      <c r="E922" s="660"/>
      <c r="F922" s="660"/>
      <c r="G922" s="660"/>
      <c r="H922" s="660"/>
      <c r="I922" s="660"/>
    </row>
    <row r="923" spans="1:9" s="17" customFormat="1" ht="16.5" customHeight="1" x14ac:dyDescent="0.2">
      <c r="A923" s="660"/>
      <c r="B923" s="660"/>
      <c r="C923" s="660"/>
      <c r="D923" s="660"/>
      <c r="E923" s="660"/>
      <c r="F923" s="660"/>
      <c r="G923" s="660"/>
      <c r="H923" s="660"/>
      <c r="I923" s="660"/>
    </row>
    <row r="924" spans="1:9" s="17" customFormat="1" ht="16.5" customHeight="1" x14ac:dyDescent="0.2">
      <c r="A924" s="660"/>
      <c r="B924" s="660"/>
      <c r="C924" s="660"/>
      <c r="D924" s="660"/>
      <c r="E924" s="660"/>
      <c r="F924" s="660"/>
      <c r="G924" s="660"/>
      <c r="H924" s="660"/>
      <c r="I924" s="660"/>
    </row>
    <row r="925" spans="1:9" s="17" customFormat="1" ht="16.5" customHeight="1" x14ac:dyDescent="0.2">
      <c r="A925" s="660"/>
      <c r="B925" s="660"/>
      <c r="C925" s="660"/>
      <c r="D925" s="660"/>
      <c r="E925" s="660"/>
      <c r="F925" s="660"/>
      <c r="G925" s="660"/>
      <c r="H925" s="660"/>
      <c r="I925" s="660"/>
    </row>
    <row r="926" spans="1:9" s="17" customFormat="1" ht="16.5" customHeight="1" x14ac:dyDescent="0.2">
      <c r="A926" s="660"/>
      <c r="B926" s="660"/>
      <c r="C926" s="660"/>
      <c r="D926" s="660"/>
      <c r="E926" s="660"/>
      <c r="F926" s="660"/>
      <c r="G926" s="660"/>
      <c r="H926" s="660"/>
      <c r="I926" s="660"/>
    </row>
    <row r="927" spans="1:9" s="17" customFormat="1" ht="16.5" customHeight="1" x14ac:dyDescent="0.2">
      <c r="A927" s="660"/>
      <c r="B927" s="660"/>
      <c r="C927" s="660"/>
      <c r="D927" s="660"/>
      <c r="E927" s="660"/>
      <c r="F927" s="660"/>
      <c r="G927" s="660"/>
      <c r="H927" s="660"/>
      <c r="I927" s="660"/>
    </row>
    <row r="928" spans="1:9" s="17" customFormat="1" ht="16.5" customHeight="1" x14ac:dyDescent="0.2">
      <c r="A928" s="660"/>
      <c r="B928" s="660"/>
      <c r="C928" s="660"/>
      <c r="D928" s="660"/>
      <c r="E928" s="660"/>
      <c r="F928" s="660"/>
      <c r="G928" s="660"/>
      <c r="H928" s="660"/>
      <c r="I928" s="660"/>
    </row>
    <row r="929" spans="1:9" s="17" customFormat="1" ht="16.5" customHeight="1" x14ac:dyDescent="0.2">
      <c r="A929" s="660"/>
      <c r="B929" s="660"/>
      <c r="C929" s="660"/>
      <c r="D929" s="660"/>
      <c r="E929" s="660"/>
      <c r="F929" s="660"/>
      <c r="G929" s="660"/>
      <c r="H929" s="660"/>
      <c r="I929" s="660"/>
    </row>
    <row r="930" spans="1:9" s="17" customFormat="1" ht="16.5" customHeight="1" x14ac:dyDescent="0.2">
      <c r="A930" s="660"/>
      <c r="B930" s="660"/>
      <c r="C930" s="660"/>
      <c r="D930" s="660"/>
      <c r="E930" s="660"/>
      <c r="F930" s="660"/>
      <c r="G930" s="660"/>
      <c r="H930" s="660"/>
      <c r="I930" s="660"/>
    </row>
    <row r="931" spans="1:9" s="17" customFormat="1" ht="16.5" customHeight="1" x14ac:dyDescent="0.2">
      <c r="A931" s="660"/>
      <c r="B931" s="660"/>
      <c r="C931" s="660"/>
      <c r="D931" s="660"/>
      <c r="E931" s="660"/>
      <c r="F931" s="660"/>
      <c r="G931" s="660"/>
      <c r="H931" s="660"/>
      <c r="I931" s="660"/>
    </row>
    <row r="932" spans="1:9" s="17" customFormat="1" ht="16.5" customHeight="1" x14ac:dyDescent="0.2">
      <c r="A932" s="660"/>
      <c r="B932" s="660"/>
      <c r="C932" s="660"/>
      <c r="D932" s="660"/>
      <c r="E932" s="660"/>
      <c r="F932" s="660"/>
      <c r="G932" s="660"/>
      <c r="H932" s="660"/>
      <c r="I932" s="660"/>
    </row>
    <row r="933" spans="1:9" s="17" customFormat="1" ht="16.5" customHeight="1" x14ac:dyDescent="0.2">
      <c r="A933" s="660"/>
      <c r="B933" s="660"/>
      <c r="C933" s="660"/>
      <c r="D933" s="660"/>
      <c r="E933" s="660"/>
      <c r="F933" s="660"/>
      <c r="G933" s="660"/>
      <c r="H933" s="660"/>
      <c r="I933" s="660"/>
    </row>
    <row r="934" spans="1:9" s="17" customFormat="1" ht="16.5" customHeight="1" x14ac:dyDescent="0.2">
      <c r="A934" s="660"/>
      <c r="B934" s="660"/>
      <c r="C934" s="660"/>
      <c r="D934" s="660"/>
      <c r="E934" s="660"/>
      <c r="F934" s="660"/>
      <c r="G934" s="660"/>
      <c r="H934" s="660"/>
      <c r="I934" s="660"/>
    </row>
    <row r="935" spans="1:9" s="17" customFormat="1" ht="16.5" customHeight="1" x14ac:dyDescent="0.2">
      <c r="A935" s="660"/>
      <c r="B935" s="660"/>
      <c r="C935" s="660"/>
      <c r="D935" s="660"/>
      <c r="E935" s="660"/>
      <c r="F935" s="660"/>
      <c r="G935" s="660"/>
      <c r="H935" s="660"/>
      <c r="I935" s="660"/>
    </row>
    <row r="936" spans="1:9" s="17" customFormat="1" ht="16.5" customHeight="1" x14ac:dyDescent="0.2">
      <c r="A936" s="660"/>
      <c r="B936" s="660"/>
      <c r="C936" s="660"/>
      <c r="D936" s="660"/>
      <c r="E936" s="660"/>
      <c r="F936" s="660"/>
      <c r="G936" s="660"/>
      <c r="H936" s="660"/>
      <c r="I936" s="660"/>
    </row>
    <row r="937" spans="1:9" s="17" customFormat="1" ht="16.5" customHeight="1" x14ac:dyDescent="0.2">
      <c r="A937" s="660"/>
      <c r="B937" s="660"/>
      <c r="C937" s="660"/>
      <c r="D937" s="660"/>
      <c r="E937" s="660"/>
      <c r="F937" s="660"/>
      <c r="G937" s="660"/>
      <c r="H937" s="660"/>
      <c r="I937" s="660"/>
    </row>
    <row r="938" spans="1:9" s="17" customFormat="1" ht="16.5" customHeight="1" x14ac:dyDescent="0.2">
      <c r="A938" s="660"/>
      <c r="B938" s="660"/>
      <c r="C938" s="660"/>
      <c r="D938" s="660"/>
      <c r="E938" s="660"/>
      <c r="F938" s="660"/>
      <c r="G938" s="660"/>
      <c r="H938" s="660"/>
      <c r="I938" s="660"/>
    </row>
    <row r="939" spans="1:9" s="17" customFormat="1" ht="16.5" customHeight="1" x14ac:dyDescent="0.2">
      <c r="A939" s="660"/>
      <c r="B939" s="660"/>
      <c r="C939" s="660"/>
      <c r="D939" s="660"/>
      <c r="E939" s="660"/>
      <c r="F939" s="660"/>
      <c r="G939" s="660"/>
      <c r="H939" s="660"/>
      <c r="I939" s="660"/>
    </row>
    <row r="940" spans="1:9" s="17" customFormat="1" ht="16.5" customHeight="1" x14ac:dyDescent="0.2">
      <c r="A940" s="660"/>
      <c r="B940" s="660"/>
      <c r="C940" s="660"/>
      <c r="D940" s="660"/>
      <c r="E940" s="660"/>
      <c r="F940" s="660"/>
      <c r="G940" s="660"/>
      <c r="H940" s="660"/>
      <c r="I940" s="660"/>
    </row>
    <row r="941" spans="1:9" s="17" customFormat="1" ht="16.5" customHeight="1" x14ac:dyDescent="0.2">
      <c r="A941" s="660"/>
      <c r="B941" s="660"/>
      <c r="C941" s="660"/>
      <c r="D941" s="660"/>
      <c r="E941" s="660"/>
      <c r="F941" s="660"/>
      <c r="G941" s="660"/>
      <c r="H941" s="660"/>
      <c r="I941" s="660"/>
    </row>
    <row r="942" spans="1:9" s="17" customFormat="1" ht="16.5" customHeight="1" x14ac:dyDescent="0.2">
      <c r="A942" s="660"/>
      <c r="B942" s="660"/>
      <c r="C942" s="660"/>
      <c r="D942" s="660"/>
      <c r="E942" s="660"/>
      <c r="F942" s="660"/>
      <c r="G942" s="660"/>
      <c r="H942" s="660"/>
      <c r="I942" s="660"/>
    </row>
    <row r="943" spans="1:9" s="17" customFormat="1" ht="16.5" customHeight="1" x14ac:dyDescent="0.2">
      <c r="A943" s="660"/>
      <c r="B943" s="660"/>
      <c r="C943" s="660"/>
      <c r="D943" s="660"/>
      <c r="E943" s="660"/>
      <c r="F943" s="660"/>
      <c r="G943" s="660"/>
      <c r="H943" s="660"/>
      <c r="I943" s="660"/>
    </row>
    <row r="944" spans="1:9" s="17" customFormat="1" ht="16.5" customHeight="1" x14ac:dyDescent="0.2">
      <c r="A944" s="660"/>
      <c r="B944" s="660"/>
      <c r="C944" s="660"/>
      <c r="D944" s="660"/>
      <c r="E944" s="660"/>
      <c r="F944" s="660"/>
      <c r="G944" s="660"/>
      <c r="H944" s="660"/>
      <c r="I944" s="660"/>
    </row>
    <row r="945" spans="1:9" s="17" customFormat="1" ht="16.5" customHeight="1" x14ac:dyDescent="0.2">
      <c r="A945" s="523"/>
      <c r="B945" s="523"/>
      <c r="C945" s="523"/>
      <c r="D945" s="523"/>
      <c r="E945" s="523"/>
      <c r="F945" s="523"/>
      <c r="G945" s="523"/>
      <c r="H945" s="523"/>
      <c r="I945" s="409">
        <v>15</v>
      </c>
    </row>
    <row r="946" spans="1:9" s="17" customFormat="1" ht="16.5" customHeight="1" x14ac:dyDescent="0.2">
      <c r="A946" s="660"/>
      <c r="B946" s="660"/>
      <c r="C946" s="660"/>
      <c r="D946" s="660"/>
      <c r="E946" s="660"/>
      <c r="F946" s="660"/>
      <c r="G946" s="660"/>
      <c r="H946" s="660"/>
      <c r="I946" s="409"/>
    </row>
    <row r="947" spans="1:9" s="17" customFormat="1" ht="16.5" customHeight="1" x14ac:dyDescent="0.2">
      <c r="A947" s="660"/>
      <c r="B947" s="660"/>
      <c r="C947" s="660"/>
      <c r="D947" s="660"/>
      <c r="E947" s="660"/>
      <c r="F947" s="660"/>
      <c r="G947" s="660"/>
      <c r="H947" s="660"/>
      <c r="I947" s="409"/>
    </row>
    <row r="948" spans="1:9" s="17" customFormat="1" ht="16.5" customHeight="1" x14ac:dyDescent="0.2">
      <c r="A948" s="523"/>
      <c r="B948" s="818" t="s">
        <v>274</v>
      </c>
      <c r="C948" s="818"/>
      <c r="D948" s="818"/>
      <c r="E948" s="523"/>
      <c r="F948" s="523"/>
      <c r="G948" s="537"/>
      <c r="H948" s="541"/>
      <c r="I948" s="15"/>
    </row>
    <row r="949" spans="1:9" s="17" customFormat="1" ht="16.5" customHeight="1" x14ac:dyDescent="0.2">
      <c r="A949" s="523"/>
      <c r="B949" s="219"/>
      <c r="C949" s="219"/>
      <c r="D949" s="219"/>
      <c r="E949" s="523"/>
      <c r="F949" s="523"/>
      <c r="G949" s="537"/>
      <c r="H949" s="541"/>
      <c r="I949" s="15"/>
    </row>
    <row r="950" spans="1:9" s="17" customFormat="1" ht="16.5" customHeight="1" x14ac:dyDescent="0.2">
      <c r="A950" s="714" t="s">
        <v>683</v>
      </c>
      <c r="B950" s="714"/>
      <c r="C950" s="714"/>
      <c r="D950" s="714"/>
      <c r="E950" s="714"/>
      <c r="F950" s="714"/>
      <c r="G950" s="714"/>
      <c r="H950" s="714"/>
      <c r="I950" s="714"/>
    </row>
    <row r="951" spans="1:9" s="17" customFormat="1" ht="16.5" customHeight="1" x14ac:dyDescent="0.2">
      <c r="A951" s="714" t="s">
        <v>684</v>
      </c>
      <c r="B951" s="714"/>
      <c r="C951" s="714"/>
      <c r="D951" s="714"/>
      <c r="E951" s="714"/>
      <c r="F951" s="714"/>
      <c r="G951" s="714"/>
      <c r="H951" s="714"/>
      <c r="I951" s="714"/>
    </row>
    <row r="952" spans="1:9" s="17" customFormat="1" ht="16.5" customHeight="1" x14ac:dyDescent="0.2">
      <c r="A952" s="714" t="s">
        <v>685</v>
      </c>
      <c r="B952" s="714"/>
      <c r="C952" s="714"/>
      <c r="D952" s="714"/>
      <c r="E952" s="714"/>
      <c r="F952" s="714"/>
      <c r="G952" s="714"/>
      <c r="H952" s="714"/>
      <c r="I952" s="714"/>
    </row>
    <row r="953" spans="1:9" s="17" customFormat="1" ht="9.9499999999999993" customHeight="1" x14ac:dyDescent="0.2">
      <c r="A953" s="523"/>
      <c r="B953" s="523"/>
      <c r="C953" s="523"/>
      <c r="D953" s="523"/>
      <c r="E953" s="701" t="s">
        <v>85</v>
      </c>
      <c r="F953" s="523"/>
      <c r="G953" s="523"/>
      <c r="H953" s="523"/>
      <c r="I953" s="523"/>
    </row>
    <row r="954" spans="1:9" s="17" customFormat="1" ht="16.5" customHeight="1" x14ac:dyDescent="0.2">
      <c r="A954" s="192"/>
      <c r="B954" s="214"/>
      <c r="C954" s="15"/>
      <c r="D954" s="537"/>
      <c r="E954" s="701"/>
      <c r="F954" s="537"/>
      <c r="G954" s="192"/>
      <c r="H954" s="537"/>
      <c r="I954" s="537"/>
    </row>
    <row r="955" spans="1:9" s="17" customFormat="1" ht="16.5" customHeight="1" x14ac:dyDescent="0.2">
      <c r="A955" s="809" t="s">
        <v>150</v>
      </c>
      <c r="B955" s="702" t="s">
        <v>151</v>
      </c>
      <c r="C955" s="703"/>
      <c r="D955" s="380" t="s">
        <v>86</v>
      </c>
      <c r="E955" s="530" t="s">
        <v>152</v>
      </c>
      <c r="F955" s="40" t="s">
        <v>87</v>
      </c>
      <c r="G955" s="706" t="s">
        <v>52</v>
      </c>
      <c r="H955" s="707"/>
      <c r="I955" s="708" t="s">
        <v>53</v>
      </c>
    </row>
    <row r="956" spans="1:9" s="17" customFormat="1" ht="16.5" customHeight="1" x14ac:dyDescent="0.2">
      <c r="A956" s="810"/>
      <c r="B956" s="704"/>
      <c r="C956" s="705"/>
      <c r="D956" s="381" t="s">
        <v>541</v>
      </c>
      <c r="E956" s="41" t="s">
        <v>573</v>
      </c>
      <c r="F956" s="41" t="s">
        <v>607</v>
      </c>
      <c r="G956" s="24" t="s">
        <v>55</v>
      </c>
      <c r="H956" s="24" t="s">
        <v>56</v>
      </c>
      <c r="I956" s="709"/>
    </row>
    <row r="957" spans="1:9" s="17" customFormat="1" ht="16.5" customHeight="1" x14ac:dyDescent="0.2">
      <c r="A957" s="131">
        <v>1</v>
      </c>
      <c r="B957" s="710">
        <v>2</v>
      </c>
      <c r="C957" s="711"/>
      <c r="D957" s="129">
        <v>3</v>
      </c>
      <c r="E957" s="129">
        <v>4</v>
      </c>
      <c r="F957" s="129">
        <v>5</v>
      </c>
      <c r="G957" s="129">
        <v>6</v>
      </c>
      <c r="H957" s="129">
        <v>7</v>
      </c>
      <c r="I957" s="142">
        <v>8</v>
      </c>
    </row>
    <row r="958" spans="1:9" s="17" customFormat="1" ht="16.5" customHeight="1" x14ac:dyDescent="0.2">
      <c r="A958" s="81">
        <v>10</v>
      </c>
      <c r="B958" s="716" t="s">
        <v>198</v>
      </c>
      <c r="C958" s="717"/>
      <c r="D958" s="145">
        <f>73983.67+243010.02+10492.78+83439.14+9140.07+38812.36+883.76+128561.01</f>
        <v>588322.81000000006</v>
      </c>
      <c r="E958" s="452">
        <f>122500+350000+34500+171000+24600+5000+76500+5500+128000</f>
        <v>917600</v>
      </c>
      <c r="F958" s="145">
        <f>79754.82+313932.92+16856.98+106391.97+10676.78+50465.52+274.25+114862.5</f>
        <v>693215.74</v>
      </c>
      <c r="G958" s="84">
        <f>F958/D958</f>
        <v>1.17829145533215</v>
      </c>
      <c r="H958" s="85">
        <f>F958/E958</f>
        <v>0.75546615082824764</v>
      </c>
      <c r="I958" s="87">
        <f>F958/F961</f>
        <v>0.97139693348217671</v>
      </c>
    </row>
    <row r="959" spans="1:9" s="17" customFormat="1" ht="16.5" customHeight="1" x14ac:dyDescent="0.2">
      <c r="A959" s="81">
        <v>21</v>
      </c>
      <c r="B959" s="716" t="s">
        <v>109</v>
      </c>
      <c r="C959" s="717"/>
      <c r="D959" s="145">
        <v>0</v>
      </c>
      <c r="E959" s="452">
        <f>30000</f>
        <v>30000</v>
      </c>
      <c r="F959" s="145">
        <f>0</f>
        <v>0</v>
      </c>
      <c r="G959" s="86" t="e">
        <f>F959/D959</f>
        <v>#DIV/0!</v>
      </c>
      <c r="H959" s="87">
        <f>F959/E959</f>
        <v>0</v>
      </c>
      <c r="I959" s="87">
        <f>F959/F961</f>
        <v>0</v>
      </c>
    </row>
    <row r="960" spans="1:9" s="17" customFormat="1" ht="16.5" customHeight="1" x14ac:dyDescent="0.2">
      <c r="A960" s="81">
        <v>22</v>
      </c>
      <c r="B960" s="716" t="s">
        <v>199</v>
      </c>
      <c r="C960" s="717"/>
      <c r="D960" s="145">
        <v>0</v>
      </c>
      <c r="E960" s="452">
        <f>21053.18</f>
        <v>21053.18</v>
      </c>
      <c r="F960" s="145">
        <f>20411.94</f>
        <v>20411.939999999999</v>
      </c>
      <c r="G960" s="86" t="e">
        <f>F960/D960</f>
        <v>#DIV/0!</v>
      </c>
      <c r="H960" s="87">
        <f>F960/E960</f>
        <v>0.96954189343367603</v>
      </c>
      <c r="I960" s="87">
        <f>F960/F961</f>
        <v>2.8603066517823413E-2</v>
      </c>
    </row>
    <row r="961" spans="1:9" s="17" customFormat="1" ht="16.5" customHeight="1" x14ac:dyDescent="0.2">
      <c r="A961" s="220"/>
      <c r="B961" s="718" t="s">
        <v>84</v>
      </c>
      <c r="C961" s="719"/>
      <c r="D961" s="700">
        <f>D958+D959+D960</f>
        <v>588322.81000000006</v>
      </c>
      <c r="E961" s="383">
        <f>SUM(E958:E960)</f>
        <v>968653.18</v>
      </c>
      <c r="F961" s="700">
        <f>F958+F959+F960</f>
        <v>713627.67999999993</v>
      </c>
      <c r="G961" s="169">
        <f>F961/D961</f>
        <v>1.2129865914938771</v>
      </c>
      <c r="H961" s="174">
        <f>F961/E961</f>
        <v>0.73672155807097017</v>
      </c>
      <c r="I961" s="137">
        <f>I958+I959+I960</f>
        <v>1.0000000000000002</v>
      </c>
    </row>
    <row r="962" spans="1:9" s="17" customFormat="1" ht="16.5" customHeight="1" x14ac:dyDescent="0.2"/>
    <row r="963" spans="1:9" s="17" customFormat="1" ht="16.5" customHeight="1" x14ac:dyDescent="0.2">
      <c r="A963" s="21"/>
      <c r="B963" s="811"/>
      <c r="C963" s="811"/>
      <c r="D963" s="811"/>
      <c r="E963" s="811"/>
      <c r="F963" s="811"/>
      <c r="G963" s="811"/>
      <c r="H963" s="811"/>
      <c r="I963" s="811"/>
    </row>
    <row r="964" spans="1:9" s="17" customFormat="1" ht="12" customHeight="1" x14ac:dyDescent="0.2">
      <c r="A964" s="523"/>
      <c r="B964" s="523"/>
      <c r="C964" s="523"/>
      <c r="D964" s="523"/>
      <c r="E964" s="701" t="s">
        <v>85</v>
      </c>
      <c r="F964" s="523"/>
      <c r="G964" s="523"/>
      <c r="H964" s="523"/>
      <c r="I964" s="523"/>
    </row>
    <row r="965" spans="1:9" s="17" customFormat="1" ht="16.5" customHeight="1" x14ac:dyDescent="0.2">
      <c r="A965" s="192"/>
      <c r="B965" s="214"/>
      <c r="C965" s="15"/>
      <c r="D965" s="537"/>
      <c r="E965" s="701"/>
      <c r="F965" s="537"/>
      <c r="G965" s="192"/>
      <c r="H965" s="537"/>
      <c r="I965" s="537"/>
    </row>
    <row r="966" spans="1:9" s="17" customFormat="1" ht="16.5" customHeight="1" x14ac:dyDescent="0.2">
      <c r="A966" s="557" t="s">
        <v>48</v>
      </c>
      <c r="B966" s="702" t="s">
        <v>151</v>
      </c>
      <c r="C966" s="703"/>
      <c r="D966" s="380" t="s">
        <v>86</v>
      </c>
      <c r="E966" s="530" t="s">
        <v>152</v>
      </c>
      <c r="F966" s="40" t="s">
        <v>87</v>
      </c>
      <c r="G966" s="706" t="s">
        <v>52</v>
      </c>
      <c r="H966" s="707"/>
      <c r="I966" s="708" t="s">
        <v>53</v>
      </c>
    </row>
    <row r="967" spans="1:9" s="17" customFormat="1" ht="16.5" customHeight="1" x14ac:dyDescent="0.2">
      <c r="A967" s="574" t="s">
        <v>88</v>
      </c>
      <c r="B967" s="704"/>
      <c r="C967" s="705"/>
      <c r="D967" s="381" t="s">
        <v>541</v>
      </c>
      <c r="E967" s="41" t="s">
        <v>573</v>
      </c>
      <c r="F967" s="41" t="s">
        <v>607</v>
      </c>
      <c r="G967" s="24" t="s">
        <v>55</v>
      </c>
      <c r="H967" s="24" t="s">
        <v>56</v>
      </c>
      <c r="I967" s="709"/>
    </row>
    <row r="968" spans="1:9" s="17" customFormat="1" ht="16.5" customHeight="1" x14ac:dyDescent="0.2">
      <c r="A968" s="131">
        <v>1</v>
      </c>
      <c r="B968" s="710">
        <v>2</v>
      </c>
      <c r="C968" s="711"/>
      <c r="D968" s="129">
        <v>3</v>
      </c>
      <c r="E968" s="129">
        <v>4</v>
      </c>
      <c r="F968" s="129">
        <v>5</v>
      </c>
      <c r="G968" s="129">
        <v>6</v>
      </c>
      <c r="H968" s="129">
        <v>7</v>
      </c>
      <c r="I968" s="142">
        <v>8</v>
      </c>
    </row>
    <row r="969" spans="1:9" s="17" customFormat="1" ht="16.5" customHeight="1" x14ac:dyDescent="0.2">
      <c r="A969" s="81">
        <v>13210</v>
      </c>
      <c r="B969" s="816" t="s">
        <v>686</v>
      </c>
      <c r="C969" s="817"/>
      <c r="D969" s="426">
        <v>473215.87</v>
      </c>
      <c r="E969" s="452">
        <v>800000</v>
      </c>
      <c r="F969" s="426">
        <v>592511.18999999994</v>
      </c>
      <c r="G969" s="84">
        <f t="shared" ref="G969:G976" si="84">F969/D969</f>
        <v>1.2520949265712495</v>
      </c>
      <c r="H969" s="85">
        <f t="shared" ref="H969:H976" si="85">F969/E969</f>
        <v>0.7406389874999999</v>
      </c>
      <c r="I969" s="87">
        <f>F969/F976</f>
        <v>0.83028056030562047</v>
      </c>
    </row>
    <row r="970" spans="1:9" s="17" customFormat="1" ht="16.5" customHeight="1" x14ac:dyDescent="0.2">
      <c r="A970" s="520">
        <v>13220</v>
      </c>
      <c r="B970" s="716" t="s">
        <v>687</v>
      </c>
      <c r="C970" s="717"/>
      <c r="D970" s="145">
        <v>52282.91</v>
      </c>
      <c r="E970" s="453">
        <v>78000</v>
      </c>
      <c r="F970" s="145">
        <v>57788.78</v>
      </c>
      <c r="G970" s="84">
        <f t="shared" si="84"/>
        <v>1.105309172729674</v>
      </c>
      <c r="H970" s="85">
        <f t="shared" si="85"/>
        <v>0.74088179487179484</v>
      </c>
      <c r="I970" s="87">
        <f>F970/F976</f>
        <v>8.0978893643811584E-2</v>
      </c>
    </row>
    <row r="971" spans="1:9" s="17" customFormat="1" ht="16.5" customHeight="1" x14ac:dyDescent="0.2">
      <c r="A971" s="520">
        <v>13230</v>
      </c>
      <c r="B971" s="716" t="s">
        <v>275</v>
      </c>
      <c r="C971" s="717"/>
      <c r="D971" s="145">
        <v>45943.08</v>
      </c>
      <c r="E971" s="452">
        <v>50600</v>
      </c>
      <c r="F971" s="145">
        <v>46520.89</v>
      </c>
      <c r="G971" s="84">
        <f t="shared" si="84"/>
        <v>1.0125766491928707</v>
      </c>
      <c r="H971" s="85">
        <f t="shared" si="85"/>
        <v>0.91938517786561269</v>
      </c>
      <c r="I971" s="87">
        <f>F971/F976</f>
        <v>6.5189301513640843E-2</v>
      </c>
    </row>
    <row r="972" spans="1:9" s="17" customFormat="1" ht="16.5" customHeight="1" x14ac:dyDescent="0.2">
      <c r="A972" s="520">
        <v>13240</v>
      </c>
      <c r="B972" s="716" t="s">
        <v>276</v>
      </c>
      <c r="C972" s="717"/>
      <c r="D972" s="145">
        <v>0</v>
      </c>
      <c r="E972" s="452">
        <v>600</v>
      </c>
      <c r="F972" s="145">
        <v>0</v>
      </c>
      <c r="G972" s="84" t="e">
        <f t="shared" si="84"/>
        <v>#DIV/0!</v>
      </c>
      <c r="H972" s="87">
        <f t="shared" si="85"/>
        <v>0</v>
      </c>
      <c r="I972" s="87">
        <f>F972/F976</f>
        <v>0</v>
      </c>
    </row>
    <row r="973" spans="1:9" s="17" customFormat="1" ht="16.5" customHeight="1" x14ac:dyDescent="0.2">
      <c r="A973" s="520">
        <v>13250</v>
      </c>
      <c r="B973" s="716" t="s">
        <v>442</v>
      </c>
      <c r="C973" s="717"/>
      <c r="D973" s="145">
        <v>16880.95</v>
      </c>
      <c r="E973" s="452">
        <v>18400</v>
      </c>
      <c r="F973" s="145">
        <v>16806.82</v>
      </c>
      <c r="G973" s="84">
        <f t="shared" si="84"/>
        <v>0.99560865946525512</v>
      </c>
      <c r="H973" s="87">
        <f t="shared" si="85"/>
        <v>0.91341413043478259</v>
      </c>
      <c r="I973" s="87">
        <f>F973/F976</f>
        <v>2.3551244536927158E-2</v>
      </c>
    </row>
    <row r="974" spans="1:9" s="17" customFormat="1" ht="16.5" customHeight="1" x14ac:dyDescent="0.2">
      <c r="A974" s="520">
        <v>13260</v>
      </c>
      <c r="B974" s="716" t="s">
        <v>277</v>
      </c>
      <c r="C974" s="717"/>
      <c r="D974" s="145">
        <v>0</v>
      </c>
      <c r="E974" s="452">
        <v>0</v>
      </c>
      <c r="F974" s="145">
        <v>0</v>
      </c>
      <c r="G974" s="84" t="e">
        <f t="shared" si="84"/>
        <v>#DIV/0!</v>
      </c>
      <c r="H974" s="87" t="e">
        <f t="shared" si="85"/>
        <v>#DIV/0!</v>
      </c>
      <c r="I974" s="87">
        <f>F974/F976</f>
        <v>0</v>
      </c>
    </row>
    <row r="975" spans="1:9" s="17" customFormat="1" ht="16.5" customHeight="1" x14ac:dyDescent="0.2">
      <c r="A975" s="520"/>
      <c r="B975" s="738" t="s">
        <v>271</v>
      </c>
      <c r="C975" s="739"/>
      <c r="D975" s="5"/>
      <c r="E975" s="452">
        <f>21053.18</f>
        <v>21053.18</v>
      </c>
      <c r="F975" s="5"/>
      <c r="G975" s="84" t="e">
        <f t="shared" si="84"/>
        <v>#DIV/0!</v>
      </c>
      <c r="H975" s="85">
        <f t="shared" si="85"/>
        <v>0</v>
      </c>
      <c r="I975" s="87">
        <f>F975/F976</f>
        <v>0</v>
      </c>
    </row>
    <row r="976" spans="1:9" s="17" customFormat="1" ht="16.5" customHeight="1" x14ac:dyDescent="0.2">
      <c r="A976" s="146"/>
      <c r="B976" s="718" t="s">
        <v>84</v>
      </c>
      <c r="C976" s="719"/>
      <c r="D976" s="460">
        <f t="shared" ref="D976" si="86">SUM(D969:D975)</f>
        <v>588322.80999999994</v>
      </c>
      <c r="E976" s="460">
        <f>E969+E970+E971+E972+E973+E974+E975</f>
        <v>968653.18</v>
      </c>
      <c r="F976" s="460">
        <f t="shared" ref="F976" si="87">SUM(F969:F975)</f>
        <v>713627.67999999993</v>
      </c>
      <c r="G976" s="148">
        <f t="shared" si="84"/>
        <v>1.2129865914938773</v>
      </c>
      <c r="H976" s="174">
        <f t="shared" si="85"/>
        <v>0.73672155807097017</v>
      </c>
      <c r="I976" s="137">
        <f>I969+I970+I971+I972+I973+I974</f>
        <v>1.0000000000000002</v>
      </c>
    </row>
    <row r="977" spans="1:9" s="17" customFormat="1" ht="16.5" customHeight="1" x14ac:dyDescent="0.2">
      <c r="A977" s="21"/>
      <c r="B977" s="21"/>
      <c r="C977" s="15"/>
      <c r="D977" s="21"/>
      <c r="E977" s="21"/>
      <c r="F977" s="21"/>
      <c r="G977" s="21"/>
      <c r="H977" s="21"/>
      <c r="I977" s="224"/>
    </row>
    <row r="978" spans="1:9" s="17" customFormat="1" ht="16.5" customHeight="1" x14ac:dyDescent="0.2">
      <c r="A978" s="537" t="s">
        <v>688</v>
      </c>
      <c r="B978" s="537"/>
      <c r="C978" s="537"/>
      <c r="D978" s="537"/>
      <c r="E978" s="537"/>
      <c r="F978" s="537"/>
      <c r="G978" s="537"/>
      <c r="H978" s="537"/>
      <c r="I978" s="537"/>
    </row>
    <row r="979" spans="1:9" s="17" customFormat="1" ht="16.5" customHeight="1" x14ac:dyDescent="0.2">
      <c r="A979" s="714" t="s">
        <v>689</v>
      </c>
      <c r="B979" s="714"/>
      <c r="C979" s="714"/>
      <c r="D979" s="714"/>
      <c r="E979" s="714"/>
      <c r="F979" s="714"/>
      <c r="G979" s="714"/>
      <c r="H979" s="714"/>
      <c r="I979" s="714"/>
    </row>
    <row r="980" spans="1:9" s="17" customFormat="1" ht="16.5" customHeight="1" x14ac:dyDescent="0.2">
      <c r="A980" s="714" t="s">
        <v>690</v>
      </c>
      <c r="B980" s="714"/>
      <c r="C980" s="714"/>
      <c r="D980" s="714"/>
      <c r="E980" s="714"/>
      <c r="F980" s="714"/>
      <c r="G980" s="714"/>
      <c r="H980" s="714"/>
      <c r="I980" s="714"/>
    </row>
    <row r="981" spans="1:9" s="17" customFormat="1" ht="16.5" customHeight="1" x14ac:dyDescent="0.2">
      <c r="A981" s="714" t="s">
        <v>691</v>
      </c>
      <c r="B981" s="714"/>
      <c r="C981" s="714"/>
      <c r="D981" s="714"/>
      <c r="E981" s="714"/>
      <c r="F981" s="714"/>
      <c r="G981" s="714"/>
      <c r="H981" s="714"/>
      <c r="I981" s="714"/>
    </row>
    <row r="982" spans="1:9" s="17" customFormat="1" ht="16.5" customHeight="1" x14ac:dyDescent="0.2">
      <c r="A982" s="523"/>
      <c r="B982" s="523"/>
      <c r="C982" s="523"/>
      <c r="D982" s="523"/>
      <c r="E982" s="523"/>
      <c r="F982" s="523"/>
      <c r="G982" s="523"/>
      <c r="H982" s="523"/>
      <c r="I982" s="409"/>
    </row>
    <row r="983" spans="1:9" s="17" customFormat="1" ht="16.5" customHeight="1" x14ac:dyDescent="0.2">
      <c r="A983" s="523"/>
      <c r="B983" s="523"/>
      <c r="C983" s="523"/>
      <c r="D983" s="523"/>
      <c r="E983" s="523"/>
      <c r="F983" s="523"/>
      <c r="G983" s="523"/>
      <c r="H983" s="523"/>
      <c r="I983" s="523"/>
    </row>
    <row r="984" spans="1:9" s="17" customFormat="1" ht="16.5" customHeight="1" x14ac:dyDescent="0.2">
      <c r="A984" s="523"/>
      <c r="B984" s="523" t="s">
        <v>692</v>
      </c>
      <c r="C984" s="523"/>
      <c r="D984" s="523"/>
      <c r="E984" s="523"/>
      <c r="F984" s="523"/>
      <c r="G984" s="523"/>
      <c r="H984" s="523"/>
      <c r="I984" s="523"/>
    </row>
    <row r="985" spans="1:9" s="17" customFormat="1" ht="16.5" customHeight="1" x14ac:dyDescent="0.2">
      <c r="A985" s="192"/>
      <c r="B985" s="214"/>
      <c r="C985" s="15"/>
      <c r="D985" s="537"/>
      <c r="E985" s="659"/>
      <c r="F985" s="537"/>
      <c r="G985" s="192"/>
      <c r="H985" s="537"/>
      <c r="I985" s="537"/>
    </row>
    <row r="986" spans="1:9" s="17" customFormat="1" ht="16.5" customHeight="1" x14ac:dyDescent="0.2">
      <c r="A986" s="572" t="s">
        <v>48</v>
      </c>
      <c r="B986" s="702" t="s">
        <v>49</v>
      </c>
      <c r="C986" s="703"/>
      <c r="D986" s="380" t="s">
        <v>86</v>
      </c>
      <c r="E986" s="530" t="s">
        <v>152</v>
      </c>
      <c r="F986" s="40" t="s">
        <v>87</v>
      </c>
      <c r="G986" s="706" t="s">
        <v>52</v>
      </c>
      <c r="H986" s="707"/>
      <c r="I986" s="708" t="s">
        <v>53</v>
      </c>
    </row>
    <row r="987" spans="1:9" s="17" customFormat="1" ht="16.5" customHeight="1" x14ac:dyDescent="0.2">
      <c r="A987" s="23" t="s">
        <v>54</v>
      </c>
      <c r="B987" s="704"/>
      <c r="C987" s="705"/>
      <c r="D987" s="381" t="s">
        <v>541</v>
      </c>
      <c r="E987" s="41" t="s">
        <v>573</v>
      </c>
      <c r="F987" s="41" t="s">
        <v>607</v>
      </c>
      <c r="G987" s="24" t="s">
        <v>55</v>
      </c>
      <c r="H987" s="24" t="s">
        <v>56</v>
      </c>
      <c r="I987" s="709"/>
    </row>
    <row r="988" spans="1:9" s="17" customFormat="1" ht="16.5" customHeight="1" x14ac:dyDescent="0.2">
      <c r="A988" s="150">
        <v>1</v>
      </c>
      <c r="B988" s="807">
        <v>2</v>
      </c>
      <c r="C988" s="808"/>
      <c r="D988" s="152">
        <v>3</v>
      </c>
      <c r="E988" s="153">
        <v>4</v>
      </c>
      <c r="F988" s="153">
        <v>5</v>
      </c>
      <c r="G988" s="153">
        <v>6</v>
      </c>
      <c r="H988" s="153">
        <v>7</v>
      </c>
      <c r="I988" s="154">
        <v>8</v>
      </c>
    </row>
    <row r="989" spans="1:9" s="17" customFormat="1" ht="16.5" customHeight="1" x14ac:dyDescent="0.2">
      <c r="A989" s="552">
        <v>16019</v>
      </c>
      <c r="B989" s="790" t="s">
        <v>57</v>
      </c>
      <c r="C989" s="791"/>
      <c r="D989" s="158">
        <v>0</v>
      </c>
      <c r="E989" s="158">
        <f>0+0+0</f>
        <v>0</v>
      </c>
      <c r="F989" s="158">
        <v>0</v>
      </c>
      <c r="G989" s="148" t="e">
        <f t="shared" ref="G989:G1021" si="88">F989/D989</f>
        <v>#DIV/0!</v>
      </c>
      <c r="H989" s="148" t="e">
        <f t="shared" ref="H989:H1021" si="89">F989/E989</f>
        <v>#DIV/0!</v>
      </c>
      <c r="I989" s="137">
        <f>F989/F1021</f>
        <v>0</v>
      </c>
    </row>
    <row r="990" spans="1:9" s="17" customFormat="1" ht="16.5" customHeight="1" x14ac:dyDescent="0.2">
      <c r="A990" s="552">
        <v>163</v>
      </c>
      <c r="B990" s="790" t="s">
        <v>17</v>
      </c>
      <c r="C990" s="791"/>
      <c r="D990" s="168">
        <f>D991+D992+D993</f>
        <v>73983.67</v>
      </c>
      <c r="E990" s="168">
        <f>E991+E992+E993</f>
        <v>122500</v>
      </c>
      <c r="F990" s="168">
        <f>F991+F992+F993</f>
        <v>79754.820000000007</v>
      </c>
      <c r="G990" s="148">
        <f t="shared" si="88"/>
        <v>1.0780057274801318</v>
      </c>
      <c r="H990" s="148">
        <f t="shared" si="89"/>
        <v>0.65105975510204084</v>
      </c>
      <c r="I990" s="48">
        <f>F990/F1021</f>
        <v>0.11175970640600712</v>
      </c>
    </row>
    <row r="991" spans="1:9" s="17" customFormat="1" ht="16.5" customHeight="1" x14ac:dyDescent="0.2">
      <c r="A991" s="217">
        <v>16319</v>
      </c>
      <c r="B991" s="801" t="s">
        <v>166</v>
      </c>
      <c r="C991" s="802"/>
      <c r="D991" s="5">
        <v>73983.67</v>
      </c>
      <c r="E991" s="5">
        <v>122500</v>
      </c>
      <c r="F991" s="5">
        <v>79754.820000000007</v>
      </c>
      <c r="G991" s="143">
        <f t="shared" si="88"/>
        <v>1.0780057274801318</v>
      </c>
      <c r="H991" s="143">
        <f t="shared" si="89"/>
        <v>0.65105975510204084</v>
      </c>
      <c r="I991" s="76">
        <f>F991/F990</f>
        <v>1</v>
      </c>
    </row>
    <row r="992" spans="1:9" s="17" customFormat="1" ht="16.5" customHeight="1" x14ac:dyDescent="0.2">
      <c r="A992" s="217">
        <v>16519</v>
      </c>
      <c r="B992" s="801" t="s">
        <v>167</v>
      </c>
      <c r="C992" s="802"/>
      <c r="D992" s="5">
        <v>0</v>
      </c>
      <c r="E992" s="5">
        <f t="shared" ref="E992:E997" si="90">0+0+0</f>
        <v>0</v>
      </c>
      <c r="F992" s="5">
        <v>0</v>
      </c>
      <c r="G992" s="143" t="e">
        <f t="shared" si="88"/>
        <v>#DIV/0!</v>
      </c>
      <c r="H992" s="143" t="e">
        <f t="shared" si="89"/>
        <v>#DIV/0!</v>
      </c>
      <c r="I992" s="76">
        <f>F992/F990</f>
        <v>0</v>
      </c>
    </row>
    <row r="993" spans="1:9" s="17" customFormat="1" ht="16.5" customHeight="1" x14ac:dyDescent="0.2">
      <c r="A993" s="217">
        <v>16559</v>
      </c>
      <c r="B993" s="801" t="s">
        <v>168</v>
      </c>
      <c r="C993" s="802"/>
      <c r="D993" s="5">
        <v>0</v>
      </c>
      <c r="E993" s="5">
        <f t="shared" si="90"/>
        <v>0</v>
      </c>
      <c r="F993" s="5">
        <v>0</v>
      </c>
      <c r="G993" s="143" t="e">
        <f t="shared" si="88"/>
        <v>#DIV/0!</v>
      </c>
      <c r="H993" s="143" t="e">
        <f t="shared" si="89"/>
        <v>#DIV/0!</v>
      </c>
      <c r="I993" s="76">
        <f>F993/F990</f>
        <v>0</v>
      </c>
    </row>
    <row r="994" spans="1:9" s="17" customFormat="1" ht="16.5" customHeight="1" x14ac:dyDescent="0.2">
      <c r="A994" s="552">
        <v>16637</v>
      </c>
      <c r="B994" s="790" t="s">
        <v>64</v>
      </c>
      <c r="C994" s="791"/>
      <c r="D994" s="158">
        <v>0</v>
      </c>
      <c r="E994" s="158">
        <f t="shared" si="90"/>
        <v>0</v>
      </c>
      <c r="F994" s="158">
        <v>0</v>
      </c>
      <c r="G994" s="148" t="e">
        <f t="shared" si="88"/>
        <v>#DIV/0!</v>
      </c>
      <c r="H994" s="148" t="e">
        <f t="shared" si="89"/>
        <v>#DIV/0!</v>
      </c>
      <c r="I994" s="48">
        <f>F994/F1021</f>
        <v>0</v>
      </c>
    </row>
    <row r="995" spans="1:9" s="17" customFormat="1" ht="16.5" customHeight="1" x14ac:dyDescent="0.2">
      <c r="A995" s="552">
        <v>16795</v>
      </c>
      <c r="B995" s="790" t="s">
        <v>65</v>
      </c>
      <c r="C995" s="791"/>
      <c r="D995" s="158">
        <v>0</v>
      </c>
      <c r="E995" s="158">
        <f t="shared" si="90"/>
        <v>0</v>
      </c>
      <c r="F995" s="158">
        <v>0</v>
      </c>
      <c r="G995" s="148" t="e">
        <f t="shared" si="88"/>
        <v>#DIV/0!</v>
      </c>
      <c r="H995" s="148" t="e">
        <f t="shared" si="89"/>
        <v>#DIV/0!</v>
      </c>
      <c r="I995" s="48">
        <f>F995/F1021</f>
        <v>0</v>
      </c>
    </row>
    <row r="996" spans="1:9" s="17" customFormat="1" ht="16.5" customHeight="1" x14ac:dyDescent="0.2">
      <c r="A996" s="552">
        <v>16919</v>
      </c>
      <c r="B996" s="790" t="s">
        <v>66</v>
      </c>
      <c r="C996" s="791"/>
      <c r="D996" s="158">
        <v>0</v>
      </c>
      <c r="E996" s="158">
        <f t="shared" si="90"/>
        <v>0</v>
      </c>
      <c r="F996" s="158">
        <v>0</v>
      </c>
      <c r="G996" s="148" t="e">
        <f t="shared" si="88"/>
        <v>#DIV/0!</v>
      </c>
      <c r="H996" s="148" t="e">
        <f t="shared" si="89"/>
        <v>#DIV/0!</v>
      </c>
      <c r="I996" s="48">
        <f>F996/F1021</f>
        <v>0</v>
      </c>
    </row>
    <row r="997" spans="1:9" s="17" customFormat="1" ht="16.5" customHeight="1" x14ac:dyDescent="0.2">
      <c r="A997" s="552">
        <v>17519</v>
      </c>
      <c r="B997" s="790" t="s">
        <v>25</v>
      </c>
      <c r="C997" s="791"/>
      <c r="D997" s="158">
        <v>0</v>
      </c>
      <c r="E997" s="158">
        <f t="shared" si="90"/>
        <v>0</v>
      </c>
      <c r="F997" s="158">
        <v>0</v>
      </c>
      <c r="G997" s="148" t="e">
        <f t="shared" si="88"/>
        <v>#DIV/0!</v>
      </c>
      <c r="H997" s="148" t="e">
        <f t="shared" si="89"/>
        <v>#DIV/0!</v>
      </c>
      <c r="I997" s="48">
        <f>F997/F1021</f>
        <v>0</v>
      </c>
    </row>
    <row r="998" spans="1:9" s="17" customFormat="1" ht="16.5" customHeight="1" x14ac:dyDescent="0.2">
      <c r="A998" s="552">
        <v>180</v>
      </c>
      <c r="B998" s="790" t="s">
        <v>273</v>
      </c>
      <c r="C998" s="791"/>
      <c r="D998" s="158">
        <f>D999+D1000</f>
        <v>253502.8</v>
      </c>
      <c r="E998" s="158">
        <f>E999+E1000</f>
        <v>435553.18</v>
      </c>
      <c r="F998" s="158">
        <f>F999+F1000</f>
        <v>351201.83999999997</v>
      </c>
      <c r="G998" s="148">
        <f t="shared" si="88"/>
        <v>1.3853962954255337</v>
      </c>
      <c r="H998" s="148">
        <f t="shared" si="89"/>
        <v>0.80633515291978808</v>
      </c>
      <c r="I998" s="48">
        <f>F998/F1021</f>
        <v>0.49213595526451542</v>
      </c>
    </row>
    <row r="999" spans="1:9" s="17" customFormat="1" ht="16.5" customHeight="1" x14ac:dyDescent="0.2">
      <c r="A999" s="217">
        <v>18019</v>
      </c>
      <c r="B999" s="801" t="s">
        <v>170</v>
      </c>
      <c r="C999" s="802"/>
      <c r="D999" s="145">
        <v>243010.02</v>
      </c>
      <c r="E999" s="155">
        <v>401053.18</v>
      </c>
      <c r="F999" s="145">
        <v>334344.86</v>
      </c>
      <c r="G999" s="143">
        <f t="shared" si="88"/>
        <v>1.3758480411630762</v>
      </c>
      <c r="H999" s="143">
        <f t="shared" si="89"/>
        <v>0.83366714608770831</v>
      </c>
      <c r="I999" s="76">
        <f>F999/F998</f>
        <v>0.95200201684592545</v>
      </c>
    </row>
    <row r="1000" spans="1:9" s="17" customFormat="1" ht="16.5" customHeight="1" x14ac:dyDescent="0.2">
      <c r="A1000" s="217">
        <v>18295</v>
      </c>
      <c r="B1000" s="801" t="s">
        <v>171</v>
      </c>
      <c r="C1000" s="802"/>
      <c r="D1000" s="5">
        <v>10492.78</v>
      </c>
      <c r="E1000" s="155">
        <v>34500</v>
      </c>
      <c r="F1000" s="5">
        <v>16856.98</v>
      </c>
      <c r="G1000" s="143">
        <f t="shared" si="88"/>
        <v>1.6065313482223014</v>
      </c>
      <c r="H1000" s="143">
        <f t="shared" si="89"/>
        <v>0.48860811594202896</v>
      </c>
      <c r="I1000" s="76">
        <f>F1000/F998</f>
        <v>4.7997983154074594E-2</v>
      </c>
    </row>
    <row r="1001" spans="1:9" s="17" customFormat="1" ht="16.5" customHeight="1" x14ac:dyDescent="0.2">
      <c r="A1001" s="552">
        <v>19595</v>
      </c>
      <c r="B1001" s="790" t="s">
        <v>172</v>
      </c>
      <c r="C1001" s="791"/>
      <c r="D1001" s="158">
        <f>0+0+0+0+0</f>
        <v>0</v>
      </c>
      <c r="E1001" s="158">
        <f>0+0+0</f>
        <v>0</v>
      </c>
      <c r="F1001" s="158">
        <f>0+0+0+0+0</f>
        <v>0</v>
      </c>
      <c r="G1001" s="148" t="e">
        <f t="shared" si="88"/>
        <v>#DIV/0!</v>
      </c>
      <c r="H1001" s="148" t="e">
        <f t="shared" si="89"/>
        <v>#DIV/0!</v>
      </c>
      <c r="I1001" s="48">
        <f>F1001/F1021</f>
        <v>0</v>
      </c>
    </row>
    <row r="1002" spans="1:9" s="17" customFormat="1" ht="16.5" customHeight="1" x14ac:dyDescent="0.2">
      <c r="A1002" s="552">
        <v>47019</v>
      </c>
      <c r="B1002" s="790" t="s">
        <v>71</v>
      </c>
      <c r="C1002" s="791"/>
      <c r="D1002" s="158">
        <v>0</v>
      </c>
      <c r="E1002" s="158">
        <f>0+0+0</f>
        <v>0</v>
      </c>
      <c r="F1002" s="158">
        <v>0</v>
      </c>
      <c r="G1002" s="148" t="e">
        <f t="shared" si="88"/>
        <v>#DIV/0!</v>
      </c>
      <c r="H1002" s="148" t="e">
        <f t="shared" si="89"/>
        <v>#DIV/0!</v>
      </c>
      <c r="I1002" s="48">
        <f>F1002/F1021</f>
        <v>0</v>
      </c>
    </row>
    <row r="1003" spans="1:9" s="17" customFormat="1" ht="16.5" customHeight="1" x14ac:dyDescent="0.2">
      <c r="A1003" s="552">
        <v>48019</v>
      </c>
      <c r="B1003" s="790" t="s">
        <v>72</v>
      </c>
      <c r="C1003" s="791"/>
      <c r="D1003" s="158">
        <v>0</v>
      </c>
      <c r="E1003" s="158">
        <f>0+0+0</f>
        <v>0</v>
      </c>
      <c r="F1003" s="158">
        <v>0</v>
      </c>
      <c r="G1003" s="148" t="e">
        <f t="shared" si="88"/>
        <v>#DIV/0!</v>
      </c>
      <c r="H1003" s="148" t="e">
        <f t="shared" si="89"/>
        <v>#DIV/0!</v>
      </c>
      <c r="I1003" s="48">
        <f>F1003/F1021</f>
        <v>0</v>
      </c>
    </row>
    <row r="1004" spans="1:9" s="17" customFormat="1" ht="16.5" customHeight="1" x14ac:dyDescent="0.2">
      <c r="A1004" s="552">
        <v>650</v>
      </c>
      <c r="B1004" s="790" t="s">
        <v>31</v>
      </c>
      <c r="C1004" s="791"/>
      <c r="D1004" s="168">
        <f>D1005+D1006</f>
        <v>0</v>
      </c>
      <c r="E1004" s="168">
        <f>E1005+E1006</f>
        <v>0</v>
      </c>
      <c r="F1004" s="168">
        <f>F1005+F1006</f>
        <v>0</v>
      </c>
      <c r="G1004" s="148" t="e">
        <f t="shared" si="88"/>
        <v>#DIV/0!</v>
      </c>
      <c r="H1004" s="148" t="e">
        <f t="shared" si="89"/>
        <v>#DIV/0!</v>
      </c>
      <c r="I1004" s="48">
        <f>F1004/F1021</f>
        <v>0</v>
      </c>
    </row>
    <row r="1005" spans="1:9" s="17" customFormat="1" ht="16.5" customHeight="1" x14ac:dyDescent="0.2">
      <c r="A1005" s="217">
        <v>65095</v>
      </c>
      <c r="B1005" s="801" t="s">
        <v>173</v>
      </c>
      <c r="C1005" s="802"/>
      <c r="D1005" s="5">
        <v>0</v>
      </c>
      <c r="E1005" s="5">
        <f>0+0+0</f>
        <v>0</v>
      </c>
      <c r="F1005" s="5">
        <v>0</v>
      </c>
      <c r="G1005" s="143" t="e">
        <f t="shared" si="88"/>
        <v>#DIV/0!</v>
      </c>
      <c r="H1005" s="143" t="e">
        <f t="shared" si="89"/>
        <v>#DIV/0!</v>
      </c>
      <c r="I1005" s="76" t="e">
        <f>F1005/F1004</f>
        <v>#DIV/0!</v>
      </c>
    </row>
    <row r="1006" spans="1:9" s="17" customFormat="1" ht="16.5" customHeight="1" x14ac:dyDescent="0.2">
      <c r="A1006" s="217">
        <v>65495</v>
      </c>
      <c r="B1006" s="801" t="s">
        <v>174</v>
      </c>
      <c r="C1006" s="802"/>
      <c r="D1006" s="5">
        <v>0</v>
      </c>
      <c r="E1006" s="5">
        <f>0+0+0</f>
        <v>0</v>
      </c>
      <c r="F1006" s="5">
        <v>0</v>
      </c>
      <c r="G1006" s="143" t="e">
        <f t="shared" si="88"/>
        <v>#DIV/0!</v>
      </c>
      <c r="H1006" s="143" t="e">
        <f t="shared" si="89"/>
        <v>#DIV/0!</v>
      </c>
      <c r="I1006" s="76" t="e">
        <f>F1006/F1004</f>
        <v>#DIV/0!</v>
      </c>
    </row>
    <row r="1007" spans="1:9" s="17" customFormat="1" ht="16.5" customHeight="1" x14ac:dyDescent="0.2">
      <c r="A1007" s="552">
        <v>66100</v>
      </c>
      <c r="B1007" s="790" t="s">
        <v>74</v>
      </c>
      <c r="C1007" s="791"/>
      <c r="D1007" s="158">
        <v>0</v>
      </c>
      <c r="E1007" s="158">
        <f>0+0+0</f>
        <v>0</v>
      </c>
      <c r="F1007" s="158">
        <v>0</v>
      </c>
      <c r="G1007" s="148" t="e">
        <f t="shared" si="88"/>
        <v>#DIV/0!</v>
      </c>
      <c r="H1007" s="148" t="e">
        <f t="shared" si="89"/>
        <v>#DIV/0!</v>
      </c>
      <c r="I1007" s="48">
        <f>F1007/F1021</f>
        <v>0</v>
      </c>
    </row>
    <row r="1008" spans="1:9" s="17" customFormat="1" ht="16.5" customHeight="1" x14ac:dyDescent="0.2">
      <c r="A1008" s="552"/>
      <c r="B1008" s="790" t="s">
        <v>75</v>
      </c>
      <c r="C1008" s="791"/>
      <c r="D1008" s="383">
        <f>D1009+D1010</f>
        <v>83439.14</v>
      </c>
      <c r="E1008" s="383">
        <f>E1009+E1010</f>
        <v>171000</v>
      </c>
      <c r="F1008" s="383">
        <f>F1009+F1010</f>
        <v>106391.97</v>
      </c>
      <c r="G1008" s="148">
        <f t="shared" si="88"/>
        <v>1.2750846904702038</v>
      </c>
      <c r="H1008" s="148">
        <f t="shared" si="89"/>
        <v>0.62217526315789473</v>
      </c>
      <c r="I1008" s="126">
        <f>F1008/F1021</f>
        <v>0.14908610327446939</v>
      </c>
    </row>
    <row r="1009" spans="1:9" s="17" customFormat="1" ht="16.5" customHeight="1" x14ac:dyDescent="0.2">
      <c r="A1009" s="217">
        <v>73028</v>
      </c>
      <c r="B1009" s="801" t="s">
        <v>175</v>
      </c>
      <c r="C1009" s="802"/>
      <c r="D1009" s="5">
        <f>0</f>
        <v>0</v>
      </c>
      <c r="E1009" s="5">
        <f>0+0+0</f>
        <v>0</v>
      </c>
      <c r="F1009" s="5">
        <v>0</v>
      </c>
      <c r="G1009" s="143" t="e">
        <f t="shared" si="88"/>
        <v>#DIV/0!</v>
      </c>
      <c r="H1009" s="143" t="e">
        <f t="shared" si="89"/>
        <v>#DIV/0!</v>
      </c>
      <c r="I1009" s="76">
        <f>F1009/F1008</f>
        <v>0</v>
      </c>
    </row>
    <row r="1010" spans="1:9" s="17" customFormat="1" ht="16.5" customHeight="1" x14ac:dyDescent="0.2">
      <c r="A1010" s="217">
        <v>74100</v>
      </c>
      <c r="B1010" s="801" t="s">
        <v>176</v>
      </c>
      <c r="C1010" s="802"/>
      <c r="D1010" s="5">
        <v>83439.14</v>
      </c>
      <c r="E1010" s="156">
        <v>171000</v>
      </c>
      <c r="F1010" s="5">
        <v>106391.97</v>
      </c>
      <c r="G1010" s="143">
        <f t="shared" si="88"/>
        <v>1.2750846904702038</v>
      </c>
      <c r="H1010" s="143">
        <f t="shared" si="89"/>
        <v>0.62217526315789473</v>
      </c>
      <c r="I1010" s="76">
        <f>F1010/F1008</f>
        <v>1</v>
      </c>
    </row>
    <row r="1011" spans="1:9" s="17" customFormat="1" ht="16.5" customHeight="1" x14ac:dyDescent="0.2">
      <c r="A1011" s="385">
        <v>75591</v>
      </c>
      <c r="B1011" s="790" t="s">
        <v>177</v>
      </c>
      <c r="C1011" s="791"/>
      <c r="D1011" s="158">
        <v>9140.07</v>
      </c>
      <c r="E1011" s="158">
        <v>24600</v>
      </c>
      <c r="F1011" s="158">
        <v>10676.78</v>
      </c>
      <c r="G1011" s="148">
        <f t="shared" si="88"/>
        <v>1.1681289092971936</v>
      </c>
      <c r="H1011" s="148">
        <f t="shared" si="89"/>
        <v>0.43401544715447155</v>
      </c>
      <c r="I1011" s="48">
        <f>F1011/F1021</f>
        <v>1.4961275044712391E-2</v>
      </c>
    </row>
    <row r="1012" spans="1:9" s="17" customFormat="1" ht="16.5" customHeight="1" x14ac:dyDescent="0.2">
      <c r="A1012" s="649">
        <v>75592</v>
      </c>
      <c r="B1012" s="629" t="s">
        <v>591</v>
      </c>
      <c r="C1012" s="630"/>
      <c r="D1012" s="383">
        <v>0</v>
      </c>
      <c r="E1012" s="383">
        <v>5000</v>
      </c>
      <c r="F1012" s="158">
        <v>0</v>
      </c>
      <c r="G1012" s="148" t="e">
        <f t="shared" si="88"/>
        <v>#DIV/0!</v>
      </c>
      <c r="H1012" s="148">
        <f t="shared" si="89"/>
        <v>0</v>
      </c>
      <c r="I1012" s="48">
        <f>F1012/F1021</f>
        <v>0</v>
      </c>
    </row>
    <row r="1013" spans="1:9" s="17" customFormat="1" ht="16.5" customHeight="1" x14ac:dyDescent="0.2">
      <c r="A1013" s="552">
        <v>850</v>
      </c>
      <c r="B1013" s="790" t="s">
        <v>40</v>
      </c>
      <c r="C1013" s="791"/>
      <c r="D1013" s="158">
        <f>D1014+D1015</f>
        <v>39696.120000000003</v>
      </c>
      <c r="E1013" s="158">
        <f t="shared" ref="E1013:F1013" si="91">E1014+E1015</f>
        <v>82000</v>
      </c>
      <c r="F1013" s="158">
        <f t="shared" si="91"/>
        <v>50739.77</v>
      </c>
      <c r="G1013" s="148">
        <f t="shared" si="88"/>
        <v>1.2782047716502265</v>
      </c>
      <c r="H1013" s="148">
        <f t="shared" si="89"/>
        <v>0.61877768292682922</v>
      </c>
      <c r="I1013" s="48">
        <f>F1013/F1021</f>
        <v>7.1101179819706539E-2</v>
      </c>
    </row>
    <row r="1014" spans="1:9" s="17" customFormat="1" ht="16.5" customHeight="1" x14ac:dyDescent="0.2">
      <c r="A1014" s="184">
        <v>85019</v>
      </c>
      <c r="B1014" s="516" t="s">
        <v>379</v>
      </c>
      <c r="C1014" s="564"/>
      <c r="D1014" s="5">
        <v>38812.36</v>
      </c>
      <c r="E1014" s="156">
        <v>76500</v>
      </c>
      <c r="F1014" s="5">
        <v>50465.52</v>
      </c>
      <c r="G1014" s="143">
        <f t="shared" si="88"/>
        <v>1.300243530669096</v>
      </c>
      <c r="H1014" s="143">
        <f t="shared" si="89"/>
        <v>0.65967999999999993</v>
      </c>
      <c r="I1014" s="76">
        <f>F1014/F1013</f>
        <v>0.99459496958697291</v>
      </c>
    </row>
    <row r="1015" spans="1:9" s="17" customFormat="1" ht="16.5" customHeight="1" x14ac:dyDescent="0.2">
      <c r="A1015" s="184">
        <v>85184</v>
      </c>
      <c r="B1015" s="801" t="s">
        <v>380</v>
      </c>
      <c r="C1015" s="802"/>
      <c r="D1015" s="5">
        <v>883.76</v>
      </c>
      <c r="E1015" s="156">
        <v>5500</v>
      </c>
      <c r="F1015" s="5">
        <v>274.25</v>
      </c>
      <c r="G1015" s="143">
        <f t="shared" si="88"/>
        <v>0.31032180682538246</v>
      </c>
      <c r="H1015" s="143">
        <f t="shared" si="89"/>
        <v>4.9863636363636367E-2</v>
      </c>
      <c r="I1015" s="76">
        <f>F1015/F1013</f>
        <v>5.4050304130270994E-3</v>
      </c>
    </row>
    <row r="1016" spans="1:9" s="17" customFormat="1" ht="16.5" customHeight="1" x14ac:dyDescent="0.2">
      <c r="A1016" s="552"/>
      <c r="B1016" s="790" t="s">
        <v>79</v>
      </c>
      <c r="C1016" s="791"/>
      <c r="D1016" s="158">
        <f>D1017+D1018+D1019+D1020</f>
        <v>128561.01</v>
      </c>
      <c r="E1016" s="158">
        <f>E1017+E1018+E1019+E1020</f>
        <v>128000</v>
      </c>
      <c r="F1016" s="158">
        <f>F1017+F1018+F1019+F1020</f>
        <v>114862.5</v>
      </c>
      <c r="G1016" s="148">
        <f t="shared" si="88"/>
        <v>0.89344739902090065</v>
      </c>
      <c r="H1016" s="148">
        <f t="shared" si="89"/>
        <v>0.89736328124999998</v>
      </c>
      <c r="I1016" s="48">
        <f>F1016/F1021</f>
        <v>0.16095578019058901</v>
      </c>
    </row>
    <row r="1017" spans="1:9" s="17" customFormat="1" ht="16.5" customHeight="1" x14ac:dyDescent="0.2">
      <c r="A1017" s="217">
        <v>92095</v>
      </c>
      <c r="B1017" s="801" t="s">
        <v>178</v>
      </c>
      <c r="C1017" s="802"/>
      <c r="D1017" s="5">
        <v>128561.01</v>
      </c>
      <c r="E1017" s="5">
        <v>128000</v>
      </c>
      <c r="F1017" s="5">
        <v>114862.5</v>
      </c>
      <c r="G1017" s="143">
        <f t="shared" si="88"/>
        <v>0.89344739902090065</v>
      </c>
      <c r="H1017" s="143">
        <f t="shared" si="89"/>
        <v>0.89736328124999998</v>
      </c>
      <c r="I1017" s="76">
        <f>F1017/F1016</f>
        <v>1</v>
      </c>
    </row>
    <row r="1018" spans="1:9" s="17" customFormat="1" ht="16.5" customHeight="1" x14ac:dyDescent="0.2">
      <c r="A1018" s="217">
        <v>92570</v>
      </c>
      <c r="B1018" s="801" t="s">
        <v>179</v>
      </c>
      <c r="C1018" s="802"/>
      <c r="D1018" s="5">
        <v>0</v>
      </c>
      <c r="E1018" s="384">
        <f>0+0</f>
        <v>0</v>
      </c>
      <c r="F1018" s="5">
        <v>0</v>
      </c>
      <c r="G1018" s="143" t="e">
        <f t="shared" si="88"/>
        <v>#DIV/0!</v>
      </c>
      <c r="H1018" s="143" t="e">
        <f t="shared" si="89"/>
        <v>#DIV/0!</v>
      </c>
      <c r="I1018" s="76">
        <f>F1018/F1016</f>
        <v>0</v>
      </c>
    </row>
    <row r="1019" spans="1:9" s="17" customFormat="1" ht="16.5" customHeight="1" x14ac:dyDescent="0.2">
      <c r="A1019" s="217">
        <v>93540</v>
      </c>
      <c r="B1019" s="801" t="s">
        <v>180</v>
      </c>
      <c r="C1019" s="802"/>
      <c r="D1019" s="5">
        <v>0</v>
      </c>
      <c r="E1019" s="384">
        <f>0+0</f>
        <v>0</v>
      </c>
      <c r="F1019" s="5">
        <v>0</v>
      </c>
      <c r="G1019" s="143" t="e">
        <f t="shared" si="88"/>
        <v>#DIV/0!</v>
      </c>
      <c r="H1019" s="143" t="e">
        <f t="shared" si="89"/>
        <v>#DIV/0!</v>
      </c>
      <c r="I1019" s="76">
        <f>F1019/F1016</f>
        <v>0</v>
      </c>
    </row>
    <row r="1020" spans="1:9" s="17" customFormat="1" ht="16.5" customHeight="1" x14ac:dyDescent="0.2">
      <c r="A1020" s="217">
        <v>94740</v>
      </c>
      <c r="B1020" s="801" t="s">
        <v>181</v>
      </c>
      <c r="C1020" s="802"/>
      <c r="D1020" s="5">
        <v>0</v>
      </c>
      <c r="E1020" s="384">
        <f>0+0</f>
        <v>0</v>
      </c>
      <c r="F1020" s="5">
        <v>0</v>
      </c>
      <c r="G1020" s="143" t="e">
        <f t="shared" si="88"/>
        <v>#DIV/0!</v>
      </c>
      <c r="H1020" s="143" t="e">
        <f t="shared" si="89"/>
        <v>#DIV/0!</v>
      </c>
      <c r="I1020" s="76">
        <f>F1020/F1016</f>
        <v>0</v>
      </c>
    </row>
    <row r="1021" spans="1:9" s="17" customFormat="1" ht="16.5" customHeight="1" x14ac:dyDescent="0.2">
      <c r="A1021" s="552"/>
      <c r="B1021" s="560" t="s">
        <v>84</v>
      </c>
      <c r="C1021" s="561"/>
      <c r="D1021" s="448">
        <f>D989+D990+D994+D995+D996+D997+D998+D1001+D1002+D1003+D1004+D1006+D1007+D1008+D1011+D1012+D1013+D1016</f>
        <v>588322.80999999994</v>
      </c>
      <c r="E1021" s="448">
        <f>E989+E990+E994+E995+E996+E997+E998+E1001+E1002+E1003+E1004+E1006+E1007+E1008+E1011+E1012+E1013+E1016</f>
        <v>968653.17999999993</v>
      </c>
      <c r="F1021" s="448">
        <f>F990+F998+F1008+F1011+F1012+F1013+F1016</f>
        <v>713627.68</v>
      </c>
      <c r="G1021" s="148">
        <f t="shared" si="88"/>
        <v>1.2129865914938776</v>
      </c>
      <c r="H1021" s="148">
        <f t="shared" si="89"/>
        <v>0.73672155807097039</v>
      </c>
      <c r="I1021" s="48">
        <f>I989+I990+I994+I995+I996+I997+I998+I1001+I1002+I1003+I1004+I1007+I1008+I1011+I1013+I1016</f>
        <v>0.99999999999999978</v>
      </c>
    </row>
    <row r="1022" spans="1:9" s="17" customFormat="1" ht="16.5" customHeight="1" x14ac:dyDescent="0.2">
      <c r="A1022" s="222"/>
      <c r="B1022" s="193"/>
      <c r="C1022" s="193"/>
      <c r="D1022" s="223"/>
      <c r="E1022" s="223"/>
      <c r="F1022" s="223"/>
      <c r="G1022" s="190"/>
      <c r="H1022" s="191"/>
      <c r="I1022" s="191"/>
    </row>
    <row r="1023" spans="1:9" s="17" customFormat="1" ht="16.5" customHeight="1" x14ac:dyDescent="0.2">
      <c r="A1023" s="518"/>
      <c r="B1023" s="724" t="s">
        <v>278</v>
      </c>
      <c r="C1023" s="724"/>
      <c r="D1023" s="724"/>
      <c r="E1023" s="724"/>
      <c r="F1023" s="724"/>
      <c r="G1023" s="724"/>
      <c r="H1023" s="724"/>
      <c r="I1023" s="724"/>
    </row>
    <row r="1024" spans="1:9" s="17" customFormat="1" ht="16.5" customHeight="1" x14ac:dyDescent="0.2">
      <c r="A1024" s="518"/>
      <c r="B1024" s="724" t="s">
        <v>693</v>
      </c>
      <c r="C1024" s="724"/>
      <c r="D1024" s="724"/>
      <c r="E1024" s="724"/>
      <c r="F1024" s="724"/>
      <c r="G1024" s="724"/>
      <c r="H1024" s="724"/>
      <c r="I1024" s="724"/>
    </row>
    <row r="1025" spans="1:10" s="17" customFormat="1" ht="16.5" customHeight="1" x14ac:dyDescent="0.2">
      <c r="A1025" s="518"/>
      <c r="B1025" s="724" t="s">
        <v>694</v>
      </c>
      <c r="C1025" s="724"/>
      <c r="D1025" s="724"/>
      <c r="E1025" s="724"/>
      <c r="F1025" s="724"/>
      <c r="G1025" s="724"/>
      <c r="H1025" s="724"/>
      <c r="I1025" s="724"/>
    </row>
    <row r="1026" spans="1:10" s="17" customFormat="1" ht="16.5" customHeight="1" x14ac:dyDescent="0.2">
      <c r="A1026" s="518"/>
      <c r="B1026" s="714" t="s">
        <v>695</v>
      </c>
      <c r="C1026" s="714"/>
      <c r="D1026" s="714"/>
      <c r="E1026" s="714"/>
      <c r="F1026" s="714"/>
      <c r="G1026" s="714"/>
      <c r="H1026" s="714"/>
      <c r="I1026" s="714"/>
      <c r="J1026" s="421"/>
    </row>
    <row r="1027" spans="1:10" s="17" customFormat="1" ht="16.5" customHeight="1" x14ac:dyDescent="0.2">
      <c r="A1027" s="518"/>
      <c r="B1027" s="714" t="s">
        <v>696</v>
      </c>
      <c r="C1027" s="714"/>
      <c r="D1027" s="714"/>
      <c r="E1027" s="714"/>
      <c r="F1027" s="714"/>
      <c r="G1027" s="714"/>
      <c r="H1027" s="714"/>
      <c r="I1027" s="714"/>
    </row>
    <row r="1028" spans="1:10" s="17" customFormat="1" ht="16.5" customHeight="1" x14ac:dyDescent="0.2">
      <c r="A1028" s="518"/>
      <c r="B1028" s="518"/>
      <c r="C1028" s="518"/>
      <c r="D1028" s="518"/>
      <c r="E1028" s="518"/>
      <c r="F1028" s="518"/>
      <c r="G1028" s="518"/>
      <c r="H1028" s="225"/>
      <c r="I1028" s="15"/>
    </row>
    <row r="1029" spans="1:10" s="17" customFormat="1" ht="16.5" customHeight="1" x14ac:dyDescent="0.2">
      <c r="A1029" s="518"/>
      <c r="B1029" s="518"/>
      <c r="C1029" s="518"/>
      <c r="D1029" s="518"/>
      <c r="E1029" s="518"/>
      <c r="F1029" s="518"/>
      <c r="G1029" s="518"/>
      <c r="H1029" s="225"/>
      <c r="I1029" s="224"/>
    </row>
    <row r="1030" spans="1:10" s="17" customFormat="1" ht="16.5" customHeight="1" x14ac:dyDescent="0.2">
      <c r="A1030" s="518"/>
      <c r="B1030" s="518"/>
      <c r="C1030" s="518"/>
      <c r="D1030" s="518"/>
      <c r="E1030" s="518"/>
      <c r="F1030" s="518"/>
      <c r="G1030" s="518"/>
      <c r="H1030" s="225"/>
      <c r="I1030" s="224"/>
    </row>
    <row r="1031" spans="1:10" s="17" customFormat="1" ht="16.5" customHeight="1" x14ac:dyDescent="0.2">
      <c r="A1031" s="518"/>
      <c r="B1031" s="518"/>
      <c r="C1031" s="518"/>
      <c r="D1031" s="518"/>
      <c r="E1031" s="518"/>
      <c r="F1031" s="518"/>
      <c r="G1031" s="518"/>
      <c r="H1031" s="225"/>
      <c r="I1031" s="225"/>
    </row>
    <row r="1032" spans="1:10" s="17" customFormat="1" ht="16.5" customHeight="1" x14ac:dyDescent="0.2">
      <c r="A1032" s="663"/>
      <c r="B1032" s="663"/>
      <c r="C1032" s="663"/>
      <c r="D1032" s="663"/>
      <c r="E1032" s="663"/>
      <c r="F1032" s="663"/>
      <c r="G1032" s="663"/>
      <c r="H1032" s="225"/>
      <c r="I1032" s="225"/>
    </row>
    <row r="1033" spans="1:10" s="17" customFormat="1" ht="16.5" customHeight="1" x14ac:dyDescent="0.2">
      <c r="A1033" s="663"/>
      <c r="B1033" s="663"/>
      <c r="C1033" s="663"/>
      <c r="D1033" s="663"/>
      <c r="E1033" s="663"/>
      <c r="F1033" s="663"/>
      <c r="G1033" s="663"/>
      <c r="H1033" s="225"/>
      <c r="I1033" s="225"/>
    </row>
    <row r="1034" spans="1:10" s="17" customFormat="1" ht="16.5" customHeight="1" x14ac:dyDescent="0.2">
      <c r="A1034" s="663"/>
      <c r="B1034" s="663"/>
      <c r="C1034" s="663"/>
      <c r="D1034" s="663"/>
      <c r="E1034" s="663"/>
      <c r="F1034" s="663"/>
      <c r="G1034" s="663"/>
      <c r="H1034" s="225"/>
      <c r="I1034" s="225"/>
    </row>
    <row r="1035" spans="1:10" s="17" customFormat="1" ht="16.5" customHeight="1" x14ac:dyDescent="0.2">
      <c r="A1035" s="663"/>
      <c r="B1035" s="663"/>
      <c r="C1035" s="663"/>
      <c r="D1035" s="663"/>
      <c r="E1035" s="663"/>
      <c r="F1035" s="663"/>
      <c r="G1035" s="663"/>
      <c r="H1035" s="225"/>
      <c r="I1035" s="225"/>
    </row>
    <row r="1036" spans="1:10" s="17" customFormat="1" ht="16.5" customHeight="1" x14ac:dyDescent="0.2">
      <c r="A1036" s="663"/>
      <c r="B1036" s="663"/>
      <c r="C1036" s="663"/>
      <c r="D1036" s="663"/>
      <c r="E1036" s="663"/>
      <c r="F1036" s="663"/>
      <c r="G1036" s="663"/>
      <c r="H1036" s="225"/>
      <c r="I1036" s="225"/>
    </row>
    <row r="1037" spans="1:10" s="17" customFormat="1" ht="16.5" customHeight="1" x14ac:dyDescent="0.2">
      <c r="A1037" s="663"/>
      <c r="B1037" s="663"/>
      <c r="C1037" s="663"/>
      <c r="D1037" s="663"/>
      <c r="E1037" s="663"/>
      <c r="F1037" s="663"/>
      <c r="G1037" s="663"/>
      <c r="H1037" s="225"/>
      <c r="I1037" s="225"/>
    </row>
    <row r="1038" spans="1:10" s="17" customFormat="1" ht="16.5" customHeight="1" x14ac:dyDescent="0.2">
      <c r="A1038" s="663"/>
      <c r="B1038" s="663"/>
      <c r="C1038" s="663"/>
      <c r="D1038" s="663"/>
      <c r="E1038" s="663"/>
      <c r="F1038" s="663"/>
      <c r="G1038" s="663"/>
      <c r="H1038" s="225"/>
      <c r="I1038" s="225"/>
    </row>
    <row r="1039" spans="1:10" s="17" customFormat="1" ht="16.5" customHeight="1" x14ac:dyDescent="0.2">
      <c r="A1039" s="663"/>
      <c r="B1039" s="663"/>
      <c r="C1039" s="663"/>
      <c r="D1039" s="663"/>
      <c r="E1039" s="663"/>
      <c r="F1039" s="663"/>
      <c r="G1039" s="663"/>
      <c r="H1039" s="225"/>
      <c r="I1039" s="225"/>
    </row>
    <row r="1040" spans="1:10" s="17" customFormat="1" ht="16.5" customHeight="1" x14ac:dyDescent="0.2">
      <c r="A1040" s="663"/>
      <c r="B1040" s="663"/>
      <c r="C1040" s="663"/>
      <c r="D1040" s="663"/>
      <c r="E1040" s="663"/>
      <c r="F1040" s="663"/>
      <c r="G1040" s="663"/>
      <c r="H1040" s="225"/>
      <c r="I1040" s="225"/>
    </row>
    <row r="1041" spans="1:9" s="17" customFormat="1" ht="16.5" customHeight="1" x14ac:dyDescent="0.2">
      <c r="A1041" s="663"/>
      <c r="B1041" s="663"/>
      <c r="C1041" s="663"/>
      <c r="D1041" s="663"/>
      <c r="E1041" s="663"/>
      <c r="F1041" s="663"/>
      <c r="G1041" s="663"/>
      <c r="H1041" s="225"/>
      <c r="I1041" s="225"/>
    </row>
    <row r="1042" spans="1:9" s="17" customFormat="1" ht="16.5" customHeight="1" x14ac:dyDescent="0.2">
      <c r="A1042" s="663"/>
      <c r="B1042" s="663"/>
      <c r="C1042" s="663"/>
      <c r="D1042" s="663"/>
      <c r="E1042" s="663"/>
      <c r="F1042" s="663"/>
      <c r="G1042" s="663"/>
      <c r="H1042" s="225"/>
      <c r="I1042" s="225"/>
    </row>
    <row r="1043" spans="1:9" s="17" customFormat="1" ht="16.5" customHeight="1" x14ac:dyDescent="0.2">
      <c r="A1043" s="663"/>
      <c r="B1043" s="663"/>
      <c r="C1043" s="663"/>
      <c r="D1043" s="663"/>
      <c r="E1043" s="663"/>
      <c r="F1043" s="663"/>
      <c r="G1043" s="663"/>
      <c r="H1043" s="225"/>
      <c r="I1043" s="225"/>
    </row>
    <row r="1044" spans="1:9" s="17" customFormat="1" ht="16.5" customHeight="1" x14ac:dyDescent="0.2">
      <c r="A1044" s="663"/>
      <c r="B1044" s="663"/>
      <c r="C1044" s="663"/>
      <c r="D1044" s="663"/>
      <c r="E1044" s="663"/>
      <c r="F1044" s="663"/>
      <c r="G1044" s="663"/>
      <c r="H1044" s="225"/>
      <c r="I1044" s="225"/>
    </row>
    <row r="1045" spans="1:9" s="17" customFormat="1" ht="16.5" customHeight="1" x14ac:dyDescent="0.2">
      <c r="A1045" s="663"/>
      <c r="B1045" s="663"/>
      <c r="C1045" s="663"/>
      <c r="D1045" s="663"/>
      <c r="E1045" s="663"/>
      <c r="F1045" s="663"/>
      <c r="G1045" s="663"/>
      <c r="H1045" s="225"/>
      <c r="I1045" s="225"/>
    </row>
    <row r="1046" spans="1:9" s="17" customFormat="1" ht="16.5" customHeight="1" x14ac:dyDescent="0.2">
      <c r="A1046" s="663"/>
      <c r="B1046" s="663"/>
      <c r="C1046" s="663"/>
      <c r="D1046" s="663"/>
      <c r="E1046" s="663"/>
      <c r="F1046" s="663"/>
      <c r="G1046" s="663"/>
      <c r="H1046" s="225"/>
      <c r="I1046" s="225"/>
    </row>
    <row r="1047" spans="1:9" s="17" customFormat="1" ht="16.5" customHeight="1" x14ac:dyDescent="0.2">
      <c r="A1047" s="663"/>
      <c r="B1047" s="663"/>
      <c r="C1047" s="663"/>
      <c r="D1047" s="663"/>
      <c r="E1047" s="663"/>
      <c r="F1047" s="663"/>
      <c r="G1047" s="663"/>
      <c r="H1047" s="225"/>
      <c r="I1047" s="225"/>
    </row>
    <row r="1048" spans="1:9" s="17" customFormat="1" ht="16.5" customHeight="1" x14ac:dyDescent="0.2">
      <c r="A1048" s="663"/>
      <c r="B1048" s="663"/>
      <c r="C1048" s="663"/>
      <c r="D1048" s="663"/>
      <c r="E1048" s="663"/>
      <c r="F1048" s="663"/>
      <c r="G1048" s="663"/>
      <c r="H1048" s="225"/>
      <c r="I1048" s="225"/>
    </row>
    <row r="1049" spans="1:9" s="17" customFormat="1" ht="16.5" customHeight="1" x14ac:dyDescent="0.2">
      <c r="A1049" s="663"/>
      <c r="B1049" s="663"/>
      <c r="C1049" s="663"/>
      <c r="D1049" s="663"/>
      <c r="E1049" s="663"/>
      <c r="F1049" s="663"/>
      <c r="G1049" s="663"/>
      <c r="H1049" s="225"/>
      <c r="I1049" s="225"/>
    </row>
    <row r="1050" spans="1:9" s="17" customFormat="1" ht="16.5" customHeight="1" x14ac:dyDescent="0.2">
      <c r="A1050" s="663"/>
      <c r="B1050" s="663"/>
      <c r="C1050" s="663"/>
      <c r="D1050" s="663"/>
      <c r="E1050" s="663"/>
      <c r="F1050" s="663"/>
      <c r="G1050" s="663"/>
      <c r="H1050" s="225"/>
      <c r="I1050" s="225"/>
    </row>
    <row r="1051" spans="1:9" s="17" customFormat="1" ht="16.5" customHeight="1" x14ac:dyDescent="0.2">
      <c r="A1051" s="663"/>
      <c r="B1051" s="663"/>
      <c r="C1051" s="663"/>
      <c r="D1051" s="663"/>
      <c r="E1051" s="663"/>
      <c r="F1051" s="663"/>
      <c r="G1051" s="663"/>
      <c r="H1051" s="225"/>
      <c r="I1051" s="225"/>
    </row>
    <row r="1052" spans="1:9" s="17" customFormat="1" ht="16.5" customHeight="1" x14ac:dyDescent="0.2">
      <c r="A1052" s="663"/>
      <c r="B1052" s="663"/>
      <c r="C1052" s="663"/>
      <c r="D1052" s="663"/>
      <c r="E1052" s="663"/>
      <c r="F1052" s="663"/>
      <c r="G1052" s="663"/>
      <c r="H1052" s="225"/>
      <c r="I1052" s="225"/>
    </row>
    <row r="1053" spans="1:9" s="17" customFormat="1" ht="16.5" customHeight="1" x14ac:dyDescent="0.2">
      <c r="A1053" s="663"/>
      <c r="B1053" s="663"/>
      <c r="C1053" s="663"/>
      <c r="D1053" s="663"/>
      <c r="E1053" s="663"/>
      <c r="F1053" s="663"/>
      <c r="G1053" s="663"/>
      <c r="H1053" s="225"/>
      <c r="I1053" s="225"/>
    </row>
    <row r="1054" spans="1:9" s="17" customFormat="1" ht="16.5" customHeight="1" x14ac:dyDescent="0.2">
      <c r="A1054" s="663"/>
      <c r="B1054" s="663"/>
      <c r="C1054" s="663"/>
      <c r="D1054" s="663"/>
      <c r="E1054" s="663"/>
      <c r="F1054" s="663"/>
      <c r="G1054" s="663"/>
      <c r="H1054" s="225"/>
      <c r="I1054" s="225"/>
    </row>
    <row r="1055" spans="1:9" s="17" customFormat="1" ht="16.5" customHeight="1" x14ac:dyDescent="0.2">
      <c r="A1055" s="663"/>
      <c r="B1055" s="663"/>
      <c r="C1055" s="663"/>
      <c r="D1055" s="663"/>
      <c r="E1055" s="663"/>
      <c r="F1055" s="663"/>
      <c r="G1055" s="663"/>
      <c r="H1055" s="225"/>
      <c r="I1055" s="225"/>
    </row>
    <row r="1056" spans="1:9" s="17" customFormat="1" ht="16.5" customHeight="1" x14ac:dyDescent="0.2">
      <c r="A1056" s="663"/>
      <c r="B1056" s="663"/>
      <c r="C1056" s="663"/>
      <c r="D1056" s="663"/>
      <c r="E1056" s="663"/>
      <c r="F1056" s="663"/>
      <c r="G1056" s="663"/>
      <c r="H1056" s="225"/>
      <c r="I1056" s="225"/>
    </row>
    <row r="1057" spans="1:9" s="17" customFormat="1" ht="16.5" customHeight="1" x14ac:dyDescent="0.2">
      <c r="A1057" s="663"/>
      <c r="B1057" s="663"/>
      <c r="C1057" s="663"/>
      <c r="D1057" s="663"/>
      <c r="E1057" s="663"/>
      <c r="F1057" s="663"/>
      <c r="G1057" s="663"/>
      <c r="H1057" s="225"/>
      <c r="I1057" s="225"/>
    </row>
    <row r="1058" spans="1:9" s="17" customFormat="1" ht="16.5" customHeight="1" x14ac:dyDescent="0.2">
      <c r="A1058" s="663"/>
      <c r="B1058" s="663"/>
      <c r="C1058" s="663"/>
      <c r="D1058" s="663"/>
      <c r="E1058" s="663"/>
      <c r="F1058" s="663"/>
      <c r="G1058" s="663"/>
      <c r="H1058" s="225"/>
      <c r="I1058" s="225"/>
    </row>
    <row r="1059" spans="1:9" s="17" customFormat="1" ht="16.5" customHeight="1" x14ac:dyDescent="0.2">
      <c r="A1059" s="663"/>
      <c r="B1059" s="663"/>
      <c r="C1059" s="663"/>
      <c r="D1059" s="663"/>
      <c r="E1059" s="663"/>
      <c r="F1059" s="663"/>
      <c r="G1059" s="663"/>
      <c r="H1059" s="225"/>
      <c r="I1059" s="225"/>
    </row>
    <row r="1060" spans="1:9" s="17" customFormat="1" ht="16.5" customHeight="1" x14ac:dyDescent="0.2">
      <c r="A1060" s="663"/>
      <c r="B1060" s="663"/>
      <c r="C1060" s="663"/>
      <c r="D1060" s="663"/>
      <c r="E1060" s="663"/>
      <c r="F1060" s="663"/>
      <c r="G1060" s="663"/>
      <c r="H1060" s="225"/>
      <c r="I1060" s="225"/>
    </row>
    <row r="1061" spans="1:9" s="17" customFormat="1" ht="16.5" customHeight="1" x14ac:dyDescent="0.2">
      <c r="A1061" s="663"/>
      <c r="B1061" s="663"/>
      <c r="C1061" s="663"/>
      <c r="D1061" s="663"/>
      <c r="E1061" s="663"/>
      <c r="F1061" s="663"/>
      <c r="G1061" s="663"/>
      <c r="H1061" s="225"/>
      <c r="I1061" s="225"/>
    </row>
    <row r="1062" spans="1:9" s="17" customFormat="1" ht="16.5" customHeight="1" x14ac:dyDescent="0.2">
      <c r="A1062" s="663"/>
      <c r="B1062" s="663"/>
      <c r="C1062" s="663"/>
      <c r="D1062" s="663"/>
      <c r="E1062" s="663"/>
      <c r="F1062" s="663"/>
      <c r="G1062" s="663"/>
      <c r="H1062" s="225"/>
      <c r="I1062" s="225"/>
    </row>
    <row r="1063" spans="1:9" s="17" customFormat="1" ht="16.5" customHeight="1" x14ac:dyDescent="0.2">
      <c r="A1063" s="663"/>
      <c r="B1063" s="663"/>
      <c r="C1063" s="663"/>
      <c r="D1063" s="663"/>
      <c r="E1063" s="663"/>
      <c r="F1063" s="663"/>
      <c r="G1063" s="663"/>
      <c r="H1063" s="225"/>
      <c r="I1063" s="225"/>
    </row>
    <row r="1064" spans="1:9" s="17" customFormat="1" ht="16.5" customHeight="1" x14ac:dyDescent="0.2">
      <c r="A1064" s="518"/>
      <c r="B1064" s="518"/>
      <c r="C1064" s="518"/>
      <c r="D1064" s="518"/>
      <c r="E1064" s="518"/>
      <c r="F1064" s="518"/>
      <c r="G1064" s="518"/>
      <c r="H1064" s="225"/>
      <c r="I1064" s="225">
        <v>17</v>
      </c>
    </row>
    <row r="1065" spans="1:9" s="17" customFormat="1" ht="16.5" customHeight="1" x14ac:dyDescent="0.2">
      <c r="A1065" s="663"/>
      <c r="B1065" s="663"/>
      <c r="C1065" s="663"/>
      <c r="D1065" s="663"/>
      <c r="E1065" s="663"/>
      <c r="F1065" s="663"/>
      <c r="G1065" s="663"/>
      <c r="H1065" s="225"/>
      <c r="I1065" s="224"/>
    </row>
    <row r="1066" spans="1:9" s="17" customFormat="1" ht="16.5" customHeight="1" x14ac:dyDescent="0.2">
      <c r="A1066" s="518"/>
      <c r="B1066" s="518"/>
      <c r="C1066" s="518"/>
      <c r="D1066" s="518"/>
      <c r="E1066" s="518"/>
      <c r="F1066" s="518"/>
      <c r="G1066" s="518"/>
      <c r="H1066" s="225"/>
      <c r="I1066" s="224"/>
    </row>
    <row r="1067" spans="1:9" s="17" customFormat="1" ht="16.5" customHeight="1" x14ac:dyDescent="0.2">
      <c r="A1067" s="537"/>
      <c r="B1067" s="815" t="s">
        <v>279</v>
      </c>
      <c r="C1067" s="815"/>
      <c r="D1067" s="815"/>
      <c r="E1067" s="164"/>
      <c r="F1067" s="537"/>
      <c r="G1067" s="586"/>
      <c r="H1067" s="541"/>
      <c r="I1067" s="226"/>
    </row>
    <row r="1068" spans="1:9" s="17" customFormat="1" ht="16.5" customHeight="1" x14ac:dyDescent="0.2">
      <c r="A1068" s="537"/>
      <c r="B1068" s="219"/>
      <c r="C1068" s="219"/>
      <c r="D1068" s="219"/>
      <c r="E1068" s="164"/>
      <c r="F1068" s="537"/>
      <c r="G1068" s="586"/>
      <c r="H1068" s="541"/>
      <c r="I1068" s="226"/>
    </row>
    <row r="1069" spans="1:9" s="17" customFormat="1" ht="16.5" customHeight="1" x14ac:dyDescent="0.2">
      <c r="A1069" s="537" t="s">
        <v>697</v>
      </c>
      <c r="B1069" s="537"/>
      <c r="C1069" s="537"/>
      <c r="D1069" s="537"/>
      <c r="E1069" s="537"/>
      <c r="F1069" s="537"/>
      <c r="G1069" s="537"/>
      <c r="H1069" s="537"/>
      <c r="I1069" s="537"/>
    </row>
    <row r="1070" spans="1:9" s="17" customFormat="1" ht="16.5" customHeight="1" x14ac:dyDescent="0.2">
      <c r="A1070" s="714" t="s">
        <v>698</v>
      </c>
      <c r="B1070" s="714"/>
      <c r="C1070" s="714"/>
      <c r="D1070" s="714"/>
      <c r="E1070" s="714"/>
      <c r="F1070" s="714"/>
      <c r="G1070" s="714"/>
      <c r="H1070" s="714"/>
      <c r="I1070" s="714"/>
    </row>
    <row r="1071" spans="1:9" s="17" customFormat="1" ht="16.5" customHeight="1" x14ac:dyDescent="0.2">
      <c r="A1071" s="523"/>
      <c r="B1071" s="523" t="s">
        <v>699</v>
      </c>
      <c r="C1071" s="523"/>
      <c r="D1071" s="523"/>
      <c r="E1071" s="523"/>
      <c r="F1071" s="523"/>
      <c r="G1071" s="523"/>
      <c r="H1071" s="523"/>
      <c r="I1071" s="523"/>
    </row>
    <row r="1072" spans="1:9" s="17" customFormat="1" ht="16.5" customHeight="1" x14ac:dyDescent="0.2">
      <c r="A1072" s="523"/>
      <c r="B1072" s="523"/>
      <c r="C1072" s="523"/>
      <c r="D1072" s="523"/>
      <c r="E1072" s="523"/>
      <c r="F1072" s="523"/>
      <c r="G1072" s="523"/>
      <c r="H1072" s="523"/>
      <c r="I1072" s="523"/>
    </row>
    <row r="1073" spans="1:9" s="17" customFormat="1" ht="12" customHeight="1" x14ac:dyDescent="0.2">
      <c r="A1073" s="523"/>
      <c r="B1073" s="523"/>
      <c r="C1073" s="523"/>
      <c r="D1073" s="523"/>
      <c r="E1073" s="701" t="s">
        <v>85</v>
      </c>
      <c r="F1073" s="523"/>
      <c r="G1073" s="523"/>
      <c r="H1073" s="523"/>
      <c r="I1073" s="523"/>
    </row>
    <row r="1074" spans="1:9" s="17" customFormat="1" ht="12" customHeight="1" x14ac:dyDescent="0.2">
      <c r="A1074" s="192"/>
      <c r="B1074" s="214"/>
      <c r="C1074" s="15"/>
      <c r="D1074" s="537"/>
      <c r="E1074" s="701"/>
      <c r="F1074" s="537"/>
      <c r="G1074" s="192"/>
      <c r="H1074" s="537"/>
      <c r="I1074" s="537"/>
    </row>
    <row r="1075" spans="1:9" s="17" customFormat="1" ht="16.5" customHeight="1" x14ac:dyDescent="0.2">
      <c r="A1075" s="809" t="s">
        <v>150</v>
      </c>
      <c r="B1075" s="702" t="s">
        <v>151</v>
      </c>
      <c r="C1075" s="703"/>
      <c r="D1075" s="380" t="s">
        <v>86</v>
      </c>
      <c r="E1075" s="530" t="s">
        <v>152</v>
      </c>
      <c r="F1075" s="40" t="s">
        <v>87</v>
      </c>
      <c r="G1075" s="706" t="s">
        <v>52</v>
      </c>
      <c r="H1075" s="707"/>
      <c r="I1075" s="708" t="s">
        <v>53</v>
      </c>
    </row>
    <row r="1076" spans="1:9" s="17" customFormat="1" ht="16.5" customHeight="1" x14ac:dyDescent="0.2">
      <c r="A1076" s="810"/>
      <c r="B1076" s="704"/>
      <c r="C1076" s="705"/>
      <c r="D1076" s="381" t="s">
        <v>541</v>
      </c>
      <c r="E1076" s="41" t="s">
        <v>573</v>
      </c>
      <c r="F1076" s="41" t="s">
        <v>607</v>
      </c>
      <c r="G1076" s="24" t="s">
        <v>55</v>
      </c>
      <c r="H1076" s="24" t="s">
        <v>56</v>
      </c>
      <c r="I1076" s="709"/>
    </row>
    <row r="1077" spans="1:9" s="17" customFormat="1" ht="16.5" customHeight="1" x14ac:dyDescent="0.2">
      <c r="A1077" s="131">
        <v>1</v>
      </c>
      <c r="B1077" s="710">
        <v>2</v>
      </c>
      <c r="C1077" s="711"/>
      <c r="D1077" s="129">
        <v>3</v>
      </c>
      <c r="E1077" s="129">
        <v>4</v>
      </c>
      <c r="F1077" s="129">
        <v>5</v>
      </c>
      <c r="G1077" s="129">
        <v>6</v>
      </c>
      <c r="H1077" s="129">
        <v>7</v>
      </c>
      <c r="I1077" s="142">
        <v>8</v>
      </c>
    </row>
    <row r="1078" spans="1:9" s="17" customFormat="1" ht="16.5" customHeight="1" x14ac:dyDescent="0.2">
      <c r="A1078" s="81">
        <v>10</v>
      </c>
      <c r="B1078" s="716" t="s">
        <v>198</v>
      </c>
      <c r="C1078" s="717"/>
      <c r="D1078" s="186">
        <f>0</f>
        <v>0</v>
      </c>
      <c r="E1078" s="5">
        <f>0+0</f>
        <v>0</v>
      </c>
      <c r="F1078" s="186">
        <f>0</f>
        <v>0</v>
      </c>
      <c r="G1078" s="86" t="e">
        <f t="shared" ref="G1078:G1083" si="92">F1078/D1078</f>
        <v>#DIV/0!</v>
      </c>
      <c r="H1078" s="86" t="e">
        <f t="shared" ref="H1078:H1083" si="93">F1078/E1078</f>
        <v>#DIV/0!</v>
      </c>
      <c r="I1078" s="87">
        <f>F1078/F1083</f>
        <v>0</v>
      </c>
    </row>
    <row r="1079" spans="1:9" s="17" customFormat="1" ht="16.5" customHeight="1" x14ac:dyDescent="0.2">
      <c r="A1079" s="81">
        <v>21</v>
      </c>
      <c r="B1079" s="716" t="s">
        <v>109</v>
      </c>
      <c r="C1079" s="717"/>
      <c r="D1079" s="186">
        <f>294445+116069+29650+58500+200600</f>
        <v>699264</v>
      </c>
      <c r="E1079" s="5">
        <f>290000+200000+100000+60000+80000+310000+40000</f>
        <v>1080000</v>
      </c>
      <c r="F1079" s="186">
        <f>260599.2+199813.38+70317.14+47200+79836.61+306697.24+39645.82</f>
        <v>1004109.3899999999</v>
      </c>
      <c r="G1079" s="86">
        <f t="shared" si="92"/>
        <v>1.4359517864497526</v>
      </c>
      <c r="H1079" s="86">
        <f t="shared" si="93"/>
        <v>0.92973091666666652</v>
      </c>
      <c r="I1079" s="87">
        <f>F1079/F1083</f>
        <v>0.96131345496242626</v>
      </c>
    </row>
    <row r="1080" spans="1:9" s="17" customFormat="1" ht="16.5" customHeight="1" x14ac:dyDescent="0.2">
      <c r="A1080" s="81">
        <v>22</v>
      </c>
      <c r="B1080" s="716" t="s">
        <v>199</v>
      </c>
      <c r="C1080" s="717"/>
      <c r="D1080" s="186">
        <f>40000</f>
        <v>40000</v>
      </c>
      <c r="E1080" s="5">
        <f>144.11+5009.51+10.8+156.83</f>
        <v>5321.25</v>
      </c>
      <c r="F1080" s="186">
        <f>0</f>
        <v>0</v>
      </c>
      <c r="G1080" s="86">
        <f t="shared" si="92"/>
        <v>0</v>
      </c>
      <c r="H1080" s="86">
        <f t="shared" si="93"/>
        <v>0</v>
      </c>
      <c r="I1080" s="87">
        <f>F1080/F1083</f>
        <v>0</v>
      </c>
    </row>
    <row r="1081" spans="1:9" s="17" customFormat="1" ht="16.5" customHeight="1" x14ac:dyDescent="0.2">
      <c r="A1081" s="81">
        <v>31</v>
      </c>
      <c r="B1081" s="716" t="s">
        <v>200</v>
      </c>
      <c r="C1081" s="717"/>
      <c r="D1081" s="186">
        <v>33600</v>
      </c>
      <c r="E1081" s="5">
        <v>40408.800000000003</v>
      </c>
      <c r="F1081" s="186">
        <f>40408.8</f>
        <v>40408.800000000003</v>
      </c>
      <c r="G1081" s="86">
        <f t="shared" si="92"/>
        <v>1.2026428571428571</v>
      </c>
      <c r="H1081" s="86">
        <f t="shared" si="93"/>
        <v>1</v>
      </c>
      <c r="I1081" s="87">
        <f>F1081/F1083</f>
        <v>3.8686545037573739E-2</v>
      </c>
    </row>
    <row r="1082" spans="1:9" s="17" customFormat="1" ht="16.5" customHeight="1" x14ac:dyDescent="0.2">
      <c r="A1082" s="81" t="s">
        <v>546</v>
      </c>
      <c r="B1082" s="716" t="s">
        <v>110</v>
      </c>
      <c r="C1082" s="717"/>
      <c r="D1082" s="186">
        <v>0</v>
      </c>
      <c r="E1082" s="5">
        <f>4517</f>
        <v>4517</v>
      </c>
      <c r="F1082" s="186">
        <v>0</v>
      </c>
      <c r="G1082" s="86" t="e">
        <f t="shared" si="92"/>
        <v>#DIV/0!</v>
      </c>
      <c r="H1082" s="86">
        <f t="shared" si="93"/>
        <v>0</v>
      </c>
      <c r="I1082" s="87">
        <f>F1082/F1083</f>
        <v>0</v>
      </c>
    </row>
    <row r="1083" spans="1:9" s="17" customFormat="1" ht="16.5" customHeight="1" x14ac:dyDescent="0.2">
      <c r="A1083" s="220"/>
      <c r="B1083" s="718" t="s">
        <v>192</v>
      </c>
      <c r="C1083" s="719"/>
      <c r="D1083" s="386">
        <f>D1078+D1079+D1080+D1081+D1082</f>
        <v>772864</v>
      </c>
      <c r="E1083" s="386">
        <f>E1078+E1079+E1080+E1081+E1082</f>
        <v>1130247.05</v>
      </c>
      <c r="F1083" s="386">
        <f>F1078+F1079+F1080+F1081+F1082</f>
        <v>1044518.19</v>
      </c>
      <c r="G1083" s="148">
        <f t="shared" si="92"/>
        <v>1.3514902880713813</v>
      </c>
      <c r="H1083" s="148">
        <f t="shared" si="93"/>
        <v>0.92415033509709221</v>
      </c>
      <c r="I1083" s="48">
        <f>I1078+I1079+I1080+I1081+I1082</f>
        <v>1</v>
      </c>
    </row>
    <row r="1084" spans="1:9" s="17" customFormat="1" ht="17.25" customHeight="1" x14ac:dyDescent="0.2">
      <c r="A1084" s="227"/>
      <c r="B1084" s="584"/>
      <c r="C1084" s="160"/>
      <c r="D1084" s="160"/>
      <c r="E1084" s="160"/>
      <c r="F1084" s="161"/>
      <c r="G1084" s="161"/>
      <c r="H1084" s="162"/>
      <c r="I1084" s="15"/>
    </row>
    <row r="1085" spans="1:9" s="17" customFormat="1" ht="16.5" customHeight="1" x14ac:dyDescent="0.2">
      <c r="A1085" s="714" t="s">
        <v>700</v>
      </c>
      <c r="B1085" s="714"/>
      <c r="C1085" s="714"/>
      <c r="D1085" s="714"/>
      <c r="E1085" s="714"/>
      <c r="F1085" s="714"/>
      <c r="G1085" s="714"/>
      <c r="H1085" s="714"/>
      <c r="I1085" s="714"/>
    </row>
    <row r="1086" spans="1:9" s="17" customFormat="1" ht="12" customHeight="1" x14ac:dyDescent="0.2">
      <c r="A1086" s="523"/>
      <c r="B1086" s="523"/>
      <c r="C1086" s="523"/>
      <c r="D1086" s="523"/>
      <c r="E1086" s="701" t="s">
        <v>85</v>
      </c>
      <c r="F1086" s="523"/>
      <c r="G1086" s="523"/>
      <c r="H1086" s="523"/>
      <c r="I1086" s="523"/>
    </row>
    <row r="1087" spans="1:9" s="17" customFormat="1" ht="12" customHeight="1" x14ac:dyDescent="0.2">
      <c r="A1087" s="192"/>
      <c r="B1087" s="214"/>
      <c r="C1087" s="15"/>
      <c r="D1087" s="537"/>
      <c r="E1087" s="701"/>
      <c r="F1087" s="537"/>
      <c r="G1087" s="192"/>
      <c r="H1087" s="537"/>
      <c r="I1087" s="537"/>
    </row>
    <row r="1088" spans="1:9" s="17" customFormat="1" ht="16.5" customHeight="1" x14ac:dyDescent="0.2">
      <c r="A1088" s="557" t="s">
        <v>48</v>
      </c>
      <c r="B1088" s="702" t="s">
        <v>151</v>
      </c>
      <c r="C1088" s="703"/>
      <c r="D1088" s="380" t="s">
        <v>86</v>
      </c>
      <c r="E1088" s="530" t="s">
        <v>152</v>
      </c>
      <c r="F1088" s="40" t="s">
        <v>87</v>
      </c>
      <c r="G1088" s="706" t="s">
        <v>52</v>
      </c>
      <c r="H1088" s="707"/>
      <c r="I1088" s="708" t="s">
        <v>53</v>
      </c>
    </row>
    <row r="1089" spans="1:9" s="17" customFormat="1" ht="16.5" customHeight="1" x14ac:dyDescent="0.2">
      <c r="A1089" s="574" t="s">
        <v>88</v>
      </c>
      <c r="B1089" s="704"/>
      <c r="C1089" s="705"/>
      <c r="D1089" s="381" t="s">
        <v>541</v>
      </c>
      <c r="E1089" s="41" t="s">
        <v>573</v>
      </c>
      <c r="F1089" s="41" t="s">
        <v>607</v>
      </c>
      <c r="G1089" s="24" t="s">
        <v>55</v>
      </c>
      <c r="H1089" s="24" t="s">
        <v>56</v>
      </c>
      <c r="I1089" s="709"/>
    </row>
    <row r="1090" spans="1:9" s="17" customFormat="1" ht="16.5" customHeight="1" x14ac:dyDescent="0.2">
      <c r="A1090" s="131">
        <v>1</v>
      </c>
      <c r="B1090" s="710">
        <v>2</v>
      </c>
      <c r="C1090" s="711"/>
      <c r="D1090" s="129">
        <v>3</v>
      </c>
      <c r="E1090" s="129">
        <v>4</v>
      </c>
      <c r="F1090" s="129">
        <v>5</v>
      </c>
      <c r="G1090" s="129">
        <v>6</v>
      </c>
      <c r="H1090" s="129">
        <v>7</v>
      </c>
      <c r="I1090" s="142">
        <v>8</v>
      </c>
    </row>
    <row r="1091" spans="1:9" s="17" customFormat="1" ht="16.5" customHeight="1" x14ac:dyDescent="0.2">
      <c r="A1091" s="81">
        <v>21110</v>
      </c>
      <c r="B1091" s="799" t="s">
        <v>450</v>
      </c>
      <c r="C1091" s="800"/>
      <c r="D1091" s="186">
        <v>0</v>
      </c>
      <c r="E1091" s="452">
        <v>0</v>
      </c>
      <c r="F1091" s="186">
        <v>0</v>
      </c>
      <c r="G1091" s="87" t="e">
        <f t="shared" ref="G1091:G1105" si="94">F1091/D1091</f>
        <v>#DIV/0!</v>
      </c>
      <c r="H1091" s="87" t="e">
        <f t="shared" ref="H1091:H1105" si="95">F1091/E1091</f>
        <v>#DIV/0!</v>
      </c>
      <c r="I1091" s="87">
        <f>F1091/F1105</f>
        <v>0</v>
      </c>
    </row>
    <row r="1092" spans="1:9" s="17" customFormat="1" ht="16.5" customHeight="1" x14ac:dyDescent="0.2">
      <c r="A1092" s="520">
        <v>21120</v>
      </c>
      <c r="B1092" s="799" t="s">
        <v>451</v>
      </c>
      <c r="C1092" s="800"/>
      <c r="D1092" s="186">
        <v>0</v>
      </c>
      <c r="E1092" s="452">
        <v>40000</v>
      </c>
      <c r="F1092" s="186">
        <v>0</v>
      </c>
      <c r="G1092" s="87" t="e">
        <f t="shared" si="94"/>
        <v>#DIV/0!</v>
      </c>
      <c r="H1092" s="87">
        <f t="shared" si="95"/>
        <v>0</v>
      </c>
      <c r="I1092" s="87">
        <f>F1092/F1105</f>
        <v>0</v>
      </c>
    </row>
    <row r="1093" spans="1:9" s="17" customFormat="1" ht="16.5" customHeight="1" x14ac:dyDescent="0.2">
      <c r="A1093" s="520">
        <v>21200</v>
      </c>
      <c r="B1093" s="799" t="s">
        <v>452</v>
      </c>
      <c r="C1093" s="800"/>
      <c r="D1093" s="186">
        <v>416145</v>
      </c>
      <c r="E1093" s="452">
        <v>470000</v>
      </c>
      <c r="F1093" s="186">
        <v>601833.32999999996</v>
      </c>
      <c r="G1093" s="87">
        <f t="shared" si="94"/>
        <v>1.4462106477309591</v>
      </c>
      <c r="H1093" s="87">
        <f t="shared" si="95"/>
        <v>1.2804964468085105</v>
      </c>
      <c r="I1093" s="87">
        <f>F1093/F1105</f>
        <v>0.57618271827319723</v>
      </c>
    </row>
    <row r="1094" spans="1:9" s="17" customFormat="1" ht="16.5" customHeight="1" x14ac:dyDescent="0.2">
      <c r="A1094" s="634">
        <v>21310</v>
      </c>
      <c r="B1094" s="632" t="s">
        <v>593</v>
      </c>
      <c r="C1094" s="633"/>
      <c r="D1094" s="186">
        <v>0</v>
      </c>
      <c r="E1094" s="452">
        <v>30000</v>
      </c>
      <c r="F1094" s="186"/>
      <c r="G1094" s="87" t="e">
        <f t="shared" si="94"/>
        <v>#DIV/0!</v>
      </c>
      <c r="H1094" s="87">
        <f t="shared" si="95"/>
        <v>0</v>
      </c>
      <c r="I1094" s="87">
        <f>F1094/F1105</f>
        <v>0</v>
      </c>
    </row>
    <row r="1095" spans="1:9" s="17" customFormat="1" ht="16.5" customHeight="1" x14ac:dyDescent="0.2">
      <c r="A1095" s="634">
        <v>22100</v>
      </c>
      <c r="B1095" s="799" t="s">
        <v>280</v>
      </c>
      <c r="C1095" s="800"/>
      <c r="D1095" s="186">
        <v>0</v>
      </c>
      <c r="E1095" s="452">
        <v>0</v>
      </c>
      <c r="F1095" s="186">
        <v>0</v>
      </c>
      <c r="G1095" s="87" t="e">
        <f t="shared" si="94"/>
        <v>#DIV/0!</v>
      </c>
      <c r="H1095" s="87" t="e">
        <f t="shared" si="95"/>
        <v>#DIV/0!</v>
      </c>
      <c r="I1095" s="87">
        <f>F1095/F1105</f>
        <v>0</v>
      </c>
    </row>
    <row r="1096" spans="1:9" s="17" customFormat="1" ht="16.5" customHeight="1" x14ac:dyDescent="0.2">
      <c r="A1096" s="634">
        <v>22115</v>
      </c>
      <c r="B1096" s="632" t="s">
        <v>592</v>
      </c>
      <c r="C1096" s="633"/>
      <c r="D1096" s="186">
        <v>0</v>
      </c>
      <c r="E1096" s="452">
        <v>110000</v>
      </c>
      <c r="F1096" s="186">
        <v>14270</v>
      </c>
      <c r="G1096" s="87" t="e">
        <f t="shared" si="94"/>
        <v>#DIV/0!</v>
      </c>
      <c r="H1096" s="87">
        <f t="shared" si="95"/>
        <v>0.12972727272727272</v>
      </c>
      <c r="I1096" s="87">
        <f>F1096/F1105</f>
        <v>1.3661801332535911E-2</v>
      </c>
    </row>
    <row r="1097" spans="1:9" s="17" customFormat="1" ht="16.5" customHeight="1" x14ac:dyDescent="0.2">
      <c r="A1097" s="81">
        <v>22200</v>
      </c>
      <c r="B1097" s="799" t="s">
        <v>701</v>
      </c>
      <c r="C1097" s="800"/>
      <c r="D1097" s="186">
        <v>356719</v>
      </c>
      <c r="E1097" s="452">
        <v>360000</v>
      </c>
      <c r="F1097" s="186">
        <v>301749.2</v>
      </c>
      <c r="G1097" s="87">
        <f t="shared" si="94"/>
        <v>0.84590167610920641</v>
      </c>
      <c r="H1097" s="87">
        <f t="shared" si="95"/>
        <v>0.83819222222222223</v>
      </c>
      <c r="I1097" s="87">
        <f>F1097/F1105</f>
        <v>0.28888841083753647</v>
      </c>
    </row>
    <row r="1098" spans="1:9" s="17" customFormat="1" ht="16.5" customHeight="1" x14ac:dyDescent="0.2">
      <c r="A1098" s="106">
        <v>22220</v>
      </c>
      <c r="B1098" s="799" t="s">
        <v>281</v>
      </c>
      <c r="C1098" s="800"/>
      <c r="D1098" s="186">
        <v>0</v>
      </c>
      <c r="E1098" s="5">
        <f>0+0</f>
        <v>0</v>
      </c>
      <c r="F1098" s="186">
        <v>0</v>
      </c>
      <c r="G1098" s="87" t="e">
        <f t="shared" si="94"/>
        <v>#DIV/0!</v>
      </c>
      <c r="H1098" s="87" t="e">
        <f t="shared" si="95"/>
        <v>#DIV/0!</v>
      </c>
      <c r="I1098" s="87">
        <f>F1098/F1105</f>
        <v>0</v>
      </c>
    </row>
    <row r="1099" spans="1:9" s="17" customFormat="1" ht="16.5" customHeight="1" x14ac:dyDescent="0.2">
      <c r="A1099" s="106">
        <v>22300</v>
      </c>
      <c r="B1099" s="799" t="s">
        <v>277</v>
      </c>
      <c r="C1099" s="800"/>
      <c r="D1099" s="186">
        <v>0</v>
      </c>
      <c r="E1099" s="5">
        <f>0+0</f>
        <v>0</v>
      </c>
      <c r="F1099" s="186">
        <v>126665.66</v>
      </c>
      <c r="G1099" s="87" t="e">
        <f t="shared" si="94"/>
        <v>#DIV/0!</v>
      </c>
      <c r="H1099" s="87" t="e">
        <f t="shared" si="95"/>
        <v>#DIV/0!</v>
      </c>
      <c r="I1099" s="87">
        <f>F1099/F1105</f>
        <v>0.12126706955673026</v>
      </c>
    </row>
    <row r="1100" spans="1:9" s="17" customFormat="1" ht="16.5" customHeight="1" x14ac:dyDescent="0.2">
      <c r="A1100" s="106">
        <v>23210</v>
      </c>
      <c r="B1100" s="632" t="s">
        <v>594</v>
      </c>
      <c r="C1100" s="633"/>
      <c r="D1100" s="186">
        <v>0</v>
      </c>
      <c r="E1100" s="5">
        <v>70000</v>
      </c>
      <c r="F1100" s="186"/>
      <c r="G1100" s="87" t="e">
        <f t="shared" si="94"/>
        <v>#DIV/0!</v>
      </c>
      <c r="H1100" s="87">
        <f t="shared" si="95"/>
        <v>0</v>
      </c>
      <c r="I1100" s="87">
        <f>F1100/F1105</f>
        <v>0</v>
      </c>
    </row>
    <row r="1101" spans="1:9" s="17" customFormat="1" ht="16.5" customHeight="1" x14ac:dyDescent="0.2">
      <c r="A1101" s="106"/>
      <c r="B1101" s="738" t="s">
        <v>271</v>
      </c>
      <c r="C1101" s="739"/>
      <c r="D1101" s="186"/>
      <c r="E1101" s="99">
        <f>144.11+5009.51+10.8+156.83</f>
        <v>5321.25</v>
      </c>
      <c r="F1101" s="186"/>
      <c r="G1101" s="87" t="e">
        <f t="shared" si="94"/>
        <v>#DIV/0!</v>
      </c>
      <c r="H1101" s="87">
        <f t="shared" si="95"/>
        <v>0</v>
      </c>
      <c r="I1101" s="87">
        <f>F1101/F1105</f>
        <v>0</v>
      </c>
    </row>
    <row r="1102" spans="1:9" s="17" customFormat="1" ht="16.5" customHeight="1" x14ac:dyDescent="0.2">
      <c r="A1102" s="106"/>
      <c r="B1102" s="813" t="s">
        <v>449</v>
      </c>
      <c r="C1102" s="814"/>
      <c r="D1102" s="373"/>
      <c r="E1102" s="99">
        <v>0</v>
      </c>
      <c r="F1102" s="373"/>
      <c r="G1102" s="87" t="e">
        <f t="shared" si="94"/>
        <v>#DIV/0!</v>
      </c>
      <c r="H1102" s="87" t="e">
        <f t="shared" si="95"/>
        <v>#DIV/0!</v>
      </c>
      <c r="I1102" s="87">
        <f>F1102/F1105</f>
        <v>0</v>
      </c>
    </row>
    <row r="1103" spans="1:9" s="17" customFormat="1" ht="16.5" customHeight="1" x14ac:dyDescent="0.2">
      <c r="A1103" s="106"/>
      <c r="B1103" s="543" t="s">
        <v>547</v>
      </c>
      <c r="C1103" s="580"/>
      <c r="D1103" s="373"/>
      <c r="E1103" s="99">
        <f>E1081</f>
        <v>40408.800000000003</v>
      </c>
      <c r="F1103" s="373"/>
      <c r="G1103" s="87" t="e">
        <f t="shared" si="94"/>
        <v>#DIV/0!</v>
      </c>
      <c r="H1103" s="87">
        <f t="shared" si="95"/>
        <v>0</v>
      </c>
      <c r="I1103" s="87">
        <f>F1103/F1105</f>
        <v>0</v>
      </c>
    </row>
    <row r="1104" spans="1:9" s="17" customFormat="1" ht="16.5" customHeight="1" x14ac:dyDescent="0.2">
      <c r="A1104" s="106"/>
      <c r="B1104" s="637" t="s">
        <v>595</v>
      </c>
      <c r="C1104" s="635"/>
      <c r="D1104" s="373"/>
      <c r="E1104" s="99">
        <f>E1082</f>
        <v>4517</v>
      </c>
      <c r="F1104" s="373"/>
      <c r="G1104" s="87" t="e">
        <f t="shared" si="94"/>
        <v>#DIV/0!</v>
      </c>
      <c r="H1104" s="87">
        <f t="shared" si="95"/>
        <v>0</v>
      </c>
      <c r="I1104" s="87">
        <f>F1104/F1105</f>
        <v>0</v>
      </c>
    </row>
    <row r="1105" spans="1:9" s="17" customFormat="1" ht="16.5" customHeight="1" x14ac:dyDescent="0.2">
      <c r="A1105" s="92"/>
      <c r="B1105" s="790" t="s">
        <v>84</v>
      </c>
      <c r="C1105" s="791"/>
      <c r="D1105" s="460">
        <f>D1091+D1092+D1093+D1094+D1095+D1096+D1097+D1098+D1099+D1100+D1101+D1102+D1103</f>
        <v>772864</v>
      </c>
      <c r="E1105" s="460">
        <f>E1091+E1092+E1093+E1094+E1095+E1096+E1097+E1098+E1099+E1100+E1101+E1102+E1103+E1104</f>
        <v>1130247.05</v>
      </c>
      <c r="F1105" s="460">
        <f>F1091+F1092+F1093+F1094+F1095+F1096+F1097+F1098+F1099+F1100+F1101+F1102+F1103</f>
        <v>1044518.1900000001</v>
      </c>
      <c r="G1105" s="137">
        <f t="shared" si="94"/>
        <v>1.3514902880713813</v>
      </c>
      <c r="H1105" s="137">
        <f t="shared" si="95"/>
        <v>0.92415033509709232</v>
      </c>
      <c r="I1105" s="137">
        <f>I1091+I1092+I1093+I1095+I1096+I1097+I1098+I1099</f>
        <v>0.99999999999999989</v>
      </c>
    </row>
    <row r="1106" spans="1:9" s="17" customFormat="1" ht="17.25" customHeight="1" x14ac:dyDescent="0.2">
      <c r="A1106" s="537"/>
      <c r="B1106" s="537"/>
      <c r="C1106" s="537"/>
      <c r="D1106" s="537"/>
      <c r="E1106" s="537"/>
      <c r="F1106" s="537"/>
      <c r="G1106" s="537"/>
      <c r="H1106" s="537"/>
      <c r="I1106" s="127"/>
    </row>
    <row r="1107" spans="1:9" s="17" customFormat="1" ht="16.5" customHeight="1" x14ac:dyDescent="0.2">
      <c r="A1107" s="714" t="s">
        <v>702</v>
      </c>
      <c r="B1107" s="714"/>
      <c r="C1107" s="714"/>
      <c r="D1107" s="714"/>
      <c r="E1107" s="714"/>
      <c r="F1107" s="714"/>
      <c r="G1107" s="714"/>
      <c r="H1107" s="714"/>
      <c r="I1107" s="714"/>
    </row>
    <row r="1108" spans="1:9" s="17" customFormat="1" ht="16.5" customHeight="1" x14ac:dyDescent="0.2">
      <c r="A1108" s="714" t="s">
        <v>703</v>
      </c>
      <c r="B1108" s="714"/>
      <c r="C1108" s="714"/>
      <c r="D1108" s="714"/>
      <c r="E1108" s="714"/>
      <c r="F1108" s="714"/>
      <c r="G1108" s="714"/>
      <c r="H1108" s="714"/>
      <c r="I1108" s="714"/>
    </row>
    <row r="1109" spans="1:9" s="17" customFormat="1" ht="16.5" customHeight="1" x14ac:dyDescent="0.2">
      <c r="A1109" s="714" t="s">
        <v>704</v>
      </c>
      <c r="B1109" s="714"/>
      <c r="C1109" s="714"/>
      <c r="D1109" s="714"/>
      <c r="E1109" s="714"/>
      <c r="F1109" s="714"/>
      <c r="G1109" s="714"/>
      <c r="H1109" s="714"/>
      <c r="I1109" s="714"/>
    </row>
    <row r="1110" spans="1:9" s="17" customFormat="1" ht="16.5" customHeight="1" x14ac:dyDescent="0.2">
      <c r="A1110" s="714" t="s">
        <v>705</v>
      </c>
      <c r="B1110" s="714"/>
      <c r="C1110" s="714"/>
      <c r="D1110" s="714"/>
      <c r="E1110" s="714"/>
      <c r="F1110" s="714"/>
      <c r="G1110" s="714"/>
      <c r="H1110" s="714"/>
      <c r="I1110" s="714"/>
    </row>
    <row r="1111" spans="1:9" s="17" customFormat="1" ht="16.5" customHeight="1" x14ac:dyDescent="0.2">
      <c r="A1111" s="658"/>
      <c r="B1111" s="658"/>
      <c r="C1111" s="658"/>
      <c r="D1111" s="658"/>
      <c r="E1111" s="658"/>
      <c r="F1111" s="658"/>
      <c r="G1111" s="658"/>
      <c r="H1111" s="658"/>
      <c r="I1111" s="658"/>
    </row>
    <row r="1112" spans="1:9" s="17" customFormat="1" ht="16.5" customHeight="1" x14ac:dyDescent="0.2">
      <c r="A1112" s="658"/>
      <c r="B1112" s="658"/>
      <c r="C1112" s="658"/>
      <c r="D1112" s="658"/>
      <c r="E1112" s="658"/>
      <c r="F1112" s="658"/>
      <c r="G1112" s="658"/>
      <c r="H1112" s="658"/>
      <c r="I1112" s="658"/>
    </row>
    <row r="1113" spans="1:9" s="17" customFormat="1" ht="16.5" customHeight="1" x14ac:dyDescent="0.2">
      <c r="A1113" s="658"/>
      <c r="B1113" s="658"/>
      <c r="C1113" s="658"/>
      <c r="D1113" s="658"/>
      <c r="E1113" s="658"/>
      <c r="F1113" s="658"/>
      <c r="G1113" s="658"/>
      <c r="H1113" s="658"/>
      <c r="I1113" s="658"/>
    </row>
    <row r="1114" spans="1:9" s="17" customFormat="1" ht="16.5" customHeight="1" x14ac:dyDescent="0.2">
      <c r="A1114" s="658"/>
      <c r="B1114" s="658"/>
      <c r="C1114" s="658"/>
      <c r="D1114" s="658"/>
      <c r="E1114" s="658"/>
      <c r="F1114" s="658"/>
      <c r="G1114" s="658"/>
      <c r="H1114" s="658"/>
      <c r="I1114" s="658"/>
    </row>
    <row r="1115" spans="1:9" s="17" customFormat="1" ht="16.5" customHeight="1" x14ac:dyDescent="0.2">
      <c r="A1115" s="658"/>
      <c r="B1115" s="658"/>
      <c r="C1115" s="658"/>
      <c r="D1115" s="658"/>
      <c r="E1115" s="658"/>
      <c r="F1115" s="658"/>
      <c r="G1115" s="658"/>
      <c r="H1115" s="658"/>
      <c r="I1115" s="658"/>
    </row>
    <row r="1116" spans="1:9" s="17" customFormat="1" ht="16.5" customHeight="1" x14ac:dyDescent="0.2">
      <c r="A1116" s="658"/>
      <c r="B1116" s="658"/>
      <c r="C1116" s="658"/>
      <c r="D1116" s="658"/>
      <c r="E1116" s="658"/>
      <c r="F1116" s="658"/>
      <c r="G1116" s="658"/>
      <c r="H1116" s="658"/>
      <c r="I1116" s="658"/>
    </row>
    <row r="1117" spans="1:9" s="17" customFormat="1" ht="16.5" customHeight="1" x14ac:dyDescent="0.2">
      <c r="A1117" s="658"/>
      <c r="B1117" s="658"/>
      <c r="C1117" s="658"/>
      <c r="D1117" s="658"/>
      <c r="E1117" s="658"/>
      <c r="F1117" s="658"/>
      <c r="G1117" s="658"/>
      <c r="H1117" s="658"/>
      <c r="I1117" s="658"/>
    </row>
    <row r="1118" spans="1:9" s="17" customFormat="1" ht="16.5" customHeight="1" x14ac:dyDescent="0.2">
      <c r="A1118" s="658"/>
      <c r="B1118" s="658"/>
      <c r="C1118" s="658"/>
      <c r="D1118" s="658"/>
      <c r="E1118" s="658"/>
      <c r="F1118" s="658"/>
      <c r="G1118" s="658"/>
      <c r="H1118" s="658"/>
      <c r="I1118" s="658"/>
    </row>
    <row r="1119" spans="1:9" s="17" customFormat="1" ht="16.5" customHeight="1" x14ac:dyDescent="0.2">
      <c r="A1119" s="658"/>
      <c r="B1119" s="658"/>
      <c r="C1119" s="658"/>
      <c r="D1119" s="658"/>
      <c r="E1119" s="658"/>
      <c r="F1119" s="658"/>
      <c r="G1119" s="658"/>
      <c r="H1119" s="658"/>
      <c r="I1119" s="658"/>
    </row>
    <row r="1120" spans="1:9" s="17" customFormat="1" ht="16.5" customHeight="1" x14ac:dyDescent="0.2">
      <c r="A1120" s="658"/>
      <c r="B1120" s="658"/>
      <c r="C1120" s="658"/>
      <c r="D1120" s="658"/>
      <c r="E1120" s="658"/>
      <c r="F1120" s="658"/>
      <c r="G1120" s="658"/>
      <c r="H1120" s="658"/>
      <c r="I1120" s="658"/>
    </row>
    <row r="1121" spans="1:9" s="17" customFormat="1" ht="16.5" customHeight="1" x14ac:dyDescent="0.2">
      <c r="A1121" s="658"/>
      <c r="B1121" s="658"/>
      <c r="C1121" s="658"/>
      <c r="D1121" s="658"/>
      <c r="E1121" s="658"/>
      <c r="F1121" s="658"/>
      <c r="G1121" s="658"/>
      <c r="H1121" s="658"/>
      <c r="I1121" s="658"/>
    </row>
    <row r="1122" spans="1:9" s="17" customFormat="1" ht="16.5" customHeight="1" x14ac:dyDescent="0.2">
      <c r="A1122" s="658"/>
      <c r="B1122" s="658"/>
      <c r="C1122" s="658"/>
      <c r="D1122" s="658"/>
      <c r="E1122" s="658"/>
      <c r="F1122" s="658"/>
      <c r="G1122" s="658"/>
      <c r="H1122" s="658"/>
      <c r="I1122" s="658"/>
    </row>
    <row r="1123" spans="1:9" s="17" customFormat="1" ht="16.5" customHeight="1" x14ac:dyDescent="0.2">
      <c r="A1123" s="658"/>
      <c r="B1123" s="658"/>
      <c r="C1123" s="658"/>
      <c r="D1123" s="658"/>
      <c r="E1123" s="658"/>
      <c r="F1123" s="658"/>
      <c r="G1123" s="658"/>
      <c r="H1123" s="658"/>
      <c r="I1123" s="658"/>
    </row>
    <row r="1124" spans="1:9" s="17" customFormat="1" ht="16.5" customHeight="1" x14ac:dyDescent="0.2">
      <c r="A1124" s="658"/>
      <c r="B1124" s="658"/>
      <c r="C1124" s="658"/>
      <c r="D1124" s="658"/>
      <c r="E1124" s="658"/>
      <c r="F1124" s="658"/>
      <c r="G1124" s="658"/>
      <c r="H1124" s="658"/>
      <c r="I1124" s="409">
        <v>18</v>
      </c>
    </row>
    <row r="1125" spans="1:9" s="17" customFormat="1" ht="16.5" customHeight="1" x14ac:dyDescent="0.2">
      <c r="A1125" s="658"/>
      <c r="B1125" s="658"/>
      <c r="C1125" s="658"/>
      <c r="D1125" s="658"/>
      <c r="E1125" s="658"/>
      <c r="F1125" s="658"/>
      <c r="G1125" s="658"/>
      <c r="H1125" s="658"/>
      <c r="I1125" s="658"/>
    </row>
    <row r="1126" spans="1:9" s="17" customFormat="1" ht="16.5" customHeight="1" x14ac:dyDescent="0.2">
      <c r="A1126" s="658"/>
      <c r="B1126" s="658"/>
      <c r="C1126" s="658"/>
      <c r="D1126" s="658"/>
      <c r="E1126" s="658"/>
      <c r="F1126" s="658"/>
      <c r="G1126" s="658"/>
      <c r="H1126" s="658"/>
      <c r="I1126" s="658"/>
    </row>
    <row r="1127" spans="1:9" s="17" customFormat="1" ht="16.5" customHeight="1" x14ac:dyDescent="0.2">
      <c r="A1127" s="658"/>
      <c r="B1127" s="658"/>
      <c r="C1127" s="658"/>
      <c r="D1127" s="658"/>
      <c r="E1127" s="658"/>
      <c r="F1127" s="658"/>
      <c r="G1127" s="658"/>
      <c r="H1127" s="658"/>
      <c r="I1127" s="658"/>
    </row>
    <row r="1128" spans="1:9" s="17" customFormat="1" ht="16.5" customHeight="1" x14ac:dyDescent="0.2">
      <c r="A1128" s="658"/>
      <c r="B1128" s="658"/>
      <c r="C1128" s="658"/>
      <c r="D1128" s="658"/>
      <c r="E1128" s="658"/>
      <c r="F1128" s="658"/>
      <c r="G1128" s="658"/>
      <c r="H1128" s="658"/>
      <c r="I1128" s="658"/>
    </row>
    <row r="1129" spans="1:9" s="17" customFormat="1" ht="16.5" customHeight="1" x14ac:dyDescent="0.2">
      <c r="A1129" s="658"/>
      <c r="B1129" s="658"/>
      <c r="C1129" s="658"/>
      <c r="D1129" s="658"/>
      <c r="E1129" s="658"/>
      <c r="F1129" s="658"/>
      <c r="G1129" s="658"/>
      <c r="H1129" s="658"/>
      <c r="I1129" s="658"/>
    </row>
    <row r="1130" spans="1:9" s="17" customFormat="1" ht="16.5" customHeight="1" x14ac:dyDescent="0.2">
      <c r="A1130" s="658"/>
      <c r="B1130" s="658"/>
      <c r="C1130" s="658"/>
      <c r="D1130" s="658"/>
      <c r="E1130" s="658"/>
      <c r="F1130" s="658"/>
      <c r="G1130" s="658"/>
      <c r="H1130" s="658"/>
      <c r="I1130" s="658"/>
    </row>
    <row r="1131" spans="1:9" s="17" customFormat="1" ht="16.5" customHeight="1" x14ac:dyDescent="0.2">
      <c r="A1131" s="658"/>
      <c r="B1131" s="658"/>
      <c r="C1131" s="658"/>
      <c r="D1131" s="658"/>
      <c r="E1131" s="658"/>
      <c r="F1131" s="658"/>
      <c r="G1131" s="658"/>
      <c r="H1131" s="658"/>
      <c r="I1131" s="658"/>
    </row>
    <row r="1132" spans="1:9" s="17" customFormat="1" ht="16.5" customHeight="1" x14ac:dyDescent="0.2">
      <c r="A1132" s="658"/>
      <c r="B1132" s="658"/>
      <c r="C1132" s="658"/>
      <c r="D1132" s="658"/>
      <c r="E1132" s="658"/>
      <c r="F1132" s="658"/>
      <c r="G1132" s="658"/>
      <c r="H1132" s="658"/>
      <c r="I1132" s="658"/>
    </row>
    <row r="1133" spans="1:9" s="17" customFormat="1" ht="16.5" customHeight="1" x14ac:dyDescent="0.2">
      <c r="A1133" s="714" t="s">
        <v>416</v>
      </c>
      <c r="B1133" s="714"/>
      <c r="C1133" s="714"/>
      <c r="D1133" s="714"/>
      <c r="E1133" s="714"/>
      <c r="F1133" s="714"/>
      <c r="G1133" s="714"/>
      <c r="H1133" s="714"/>
      <c r="I1133" s="714"/>
    </row>
    <row r="1134" spans="1:9" s="17" customFormat="1" ht="16.5" customHeight="1" x14ac:dyDescent="0.2">
      <c r="A1134" s="714" t="s">
        <v>387</v>
      </c>
      <c r="B1134" s="714"/>
      <c r="C1134" s="714"/>
      <c r="D1134" s="714"/>
      <c r="E1134" s="714"/>
      <c r="F1134" s="714"/>
      <c r="G1134" s="714"/>
      <c r="H1134" s="714"/>
      <c r="I1134" s="714"/>
    </row>
    <row r="1135" spans="1:9" s="17" customFormat="1" ht="14.25" customHeight="1" x14ac:dyDescent="0.2">
      <c r="A1135" s="523"/>
      <c r="B1135" s="523"/>
      <c r="C1135" s="523"/>
      <c r="D1135" s="523"/>
      <c r="E1135" s="701" t="s">
        <v>85</v>
      </c>
      <c r="F1135" s="523"/>
      <c r="G1135" s="523"/>
      <c r="H1135" s="523"/>
      <c r="I1135" s="523"/>
    </row>
    <row r="1136" spans="1:9" s="17" customFormat="1" ht="14.25" customHeight="1" x14ac:dyDescent="0.2">
      <c r="A1136" s="192"/>
      <c r="B1136" s="214"/>
      <c r="C1136" s="15"/>
      <c r="D1136" s="537"/>
      <c r="E1136" s="701"/>
      <c r="F1136" s="537"/>
      <c r="G1136" s="192"/>
      <c r="H1136" s="537"/>
      <c r="I1136" s="537"/>
    </row>
    <row r="1137" spans="1:9" s="17" customFormat="1" ht="16.5" customHeight="1" x14ac:dyDescent="0.2">
      <c r="A1137" s="572" t="s">
        <v>48</v>
      </c>
      <c r="B1137" s="702" t="s">
        <v>49</v>
      </c>
      <c r="C1137" s="703"/>
      <c r="D1137" s="380" t="s">
        <v>86</v>
      </c>
      <c r="E1137" s="530" t="s">
        <v>152</v>
      </c>
      <c r="F1137" s="40" t="s">
        <v>87</v>
      </c>
      <c r="G1137" s="706" t="s">
        <v>52</v>
      </c>
      <c r="H1137" s="707"/>
      <c r="I1137" s="708" t="s">
        <v>53</v>
      </c>
    </row>
    <row r="1138" spans="1:9" s="17" customFormat="1" ht="16.5" customHeight="1" x14ac:dyDescent="0.2">
      <c r="A1138" s="23" t="s">
        <v>54</v>
      </c>
      <c r="B1138" s="704"/>
      <c r="C1138" s="705"/>
      <c r="D1138" s="381" t="s">
        <v>541</v>
      </c>
      <c r="E1138" s="41" t="s">
        <v>573</v>
      </c>
      <c r="F1138" s="41" t="s">
        <v>607</v>
      </c>
      <c r="G1138" s="24" t="s">
        <v>55</v>
      </c>
      <c r="H1138" s="24" t="s">
        <v>56</v>
      </c>
      <c r="I1138" s="709"/>
    </row>
    <row r="1139" spans="1:9" s="17" customFormat="1" ht="16.5" customHeight="1" x14ac:dyDescent="0.2">
      <c r="A1139" s="150">
        <v>1</v>
      </c>
      <c r="B1139" s="807">
        <v>2</v>
      </c>
      <c r="C1139" s="808"/>
      <c r="D1139" s="153">
        <v>3</v>
      </c>
      <c r="E1139" s="153">
        <v>4</v>
      </c>
      <c r="F1139" s="153">
        <v>5</v>
      </c>
      <c r="G1139" s="153">
        <v>6</v>
      </c>
      <c r="H1139" s="153">
        <v>7</v>
      </c>
      <c r="I1139" s="154">
        <v>8</v>
      </c>
    </row>
    <row r="1140" spans="1:9" s="17" customFormat="1" ht="16.5" customHeight="1" x14ac:dyDescent="0.2">
      <c r="A1140" s="552">
        <v>16019</v>
      </c>
      <c r="B1140" s="790" t="s">
        <v>57</v>
      </c>
      <c r="C1140" s="791"/>
      <c r="D1140" s="158">
        <v>294445</v>
      </c>
      <c r="E1140" s="450">
        <v>290144.11</v>
      </c>
      <c r="F1140" s="158">
        <v>260599.2</v>
      </c>
      <c r="G1140" s="148">
        <f t="shared" ref="G1140:G1145" si="96">F1140/D1140</f>
        <v>0.88505221688260971</v>
      </c>
      <c r="H1140" s="148">
        <f t="shared" ref="H1140:H1145" si="97">F1140/E1140</f>
        <v>0.89817160169131138</v>
      </c>
      <c r="I1140" s="137">
        <f>F1140/F1172</f>
        <v>0.24949225632920766</v>
      </c>
    </row>
    <row r="1141" spans="1:9" s="17" customFormat="1" ht="16.5" customHeight="1" x14ac:dyDescent="0.2">
      <c r="A1141" s="552">
        <v>163</v>
      </c>
      <c r="B1141" s="790" t="s">
        <v>17</v>
      </c>
      <c r="C1141" s="791"/>
      <c r="D1141" s="158">
        <f>D1142+D1143+D1144</f>
        <v>0</v>
      </c>
      <c r="E1141" s="158">
        <f t="shared" ref="E1141:F1141" si="98">E1142+E1143+E1144</f>
        <v>0</v>
      </c>
      <c r="F1141" s="158">
        <f t="shared" si="98"/>
        <v>0</v>
      </c>
      <c r="G1141" s="148" t="e">
        <f t="shared" si="96"/>
        <v>#DIV/0!</v>
      </c>
      <c r="H1141" s="148" t="e">
        <f t="shared" si="97"/>
        <v>#DIV/0!</v>
      </c>
      <c r="I1141" s="48">
        <f>F1141/F1172</f>
        <v>0</v>
      </c>
    </row>
    <row r="1142" spans="1:9" s="17" customFormat="1" ht="16.5" customHeight="1" x14ac:dyDescent="0.2">
      <c r="A1142" s="217">
        <v>16319</v>
      </c>
      <c r="B1142" s="801" t="s">
        <v>166</v>
      </c>
      <c r="C1142" s="802"/>
      <c r="D1142" s="5">
        <v>0</v>
      </c>
      <c r="E1142" s="5">
        <v>0</v>
      </c>
      <c r="F1142" s="5">
        <v>0</v>
      </c>
      <c r="G1142" s="143" t="e">
        <f t="shared" si="96"/>
        <v>#DIV/0!</v>
      </c>
      <c r="H1142" s="143" t="e">
        <f t="shared" si="97"/>
        <v>#DIV/0!</v>
      </c>
      <c r="I1142" s="76" t="e">
        <f>F1142/F1141</f>
        <v>#DIV/0!</v>
      </c>
    </row>
    <row r="1143" spans="1:9" s="17" customFormat="1" ht="16.5" customHeight="1" x14ac:dyDescent="0.2">
      <c r="A1143" s="217">
        <v>16519</v>
      </c>
      <c r="B1143" s="801" t="s">
        <v>167</v>
      </c>
      <c r="C1143" s="802"/>
      <c r="D1143" s="5">
        <v>0</v>
      </c>
      <c r="E1143" s="5">
        <v>0</v>
      </c>
      <c r="F1143" s="5">
        <v>0</v>
      </c>
      <c r="G1143" s="143" t="e">
        <f t="shared" si="96"/>
        <v>#DIV/0!</v>
      </c>
      <c r="H1143" s="143" t="e">
        <f t="shared" si="97"/>
        <v>#DIV/0!</v>
      </c>
      <c r="I1143" s="76" t="e">
        <f>F1143/F1141</f>
        <v>#DIV/0!</v>
      </c>
    </row>
    <row r="1144" spans="1:9" s="17" customFormat="1" ht="16.5" customHeight="1" x14ac:dyDescent="0.2">
      <c r="A1144" s="217">
        <v>16559</v>
      </c>
      <c r="B1144" s="801" t="s">
        <v>168</v>
      </c>
      <c r="C1144" s="802"/>
      <c r="D1144" s="5">
        <v>0</v>
      </c>
      <c r="E1144" s="5">
        <v>0</v>
      </c>
      <c r="F1144" s="5">
        <v>0</v>
      </c>
      <c r="G1144" s="143" t="e">
        <f t="shared" si="96"/>
        <v>#DIV/0!</v>
      </c>
      <c r="H1144" s="143" t="e">
        <f t="shared" si="97"/>
        <v>#DIV/0!</v>
      </c>
      <c r="I1144" s="76" t="e">
        <f>F1144/F1141</f>
        <v>#DIV/0!</v>
      </c>
    </row>
    <row r="1145" spans="1:9" s="17" customFormat="1" ht="16.5" customHeight="1" x14ac:dyDescent="0.2">
      <c r="A1145" s="552">
        <v>16637</v>
      </c>
      <c r="B1145" s="790" t="s">
        <v>64</v>
      </c>
      <c r="C1145" s="791"/>
      <c r="D1145" s="158">
        <v>0</v>
      </c>
      <c r="E1145" s="158">
        <v>0</v>
      </c>
      <c r="F1145" s="158">
        <v>0</v>
      </c>
      <c r="G1145" s="148" t="e">
        <f t="shared" si="96"/>
        <v>#DIV/0!</v>
      </c>
      <c r="H1145" s="148" t="e">
        <f t="shared" si="97"/>
        <v>#DIV/0!</v>
      </c>
      <c r="I1145" s="48">
        <f>F1145/F1172</f>
        <v>0</v>
      </c>
    </row>
    <row r="1146" spans="1:9" s="17" customFormat="1" ht="17.25" customHeight="1" x14ac:dyDescent="0.2">
      <c r="I1146" s="225"/>
    </row>
    <row r="1147" spans="1:9" s="17" customFormat="1" ht="16.5" customHeight="1" x14ac:dyDescent="0.2">
      <c r="A1147" s="552">
        <v>16795</v>
      </c>
      <c r="B1147" s="790" t="s">
        <v>65</v>
      </c>
      <c r="C1147" s="791"/>
      <c r="D1147" s="158">
        <v>0</v>
      </c>
      <c r="E1147" s="158">
        <v>0</v>
      </c>
      <c r="F1147" s="158">
        <v>0</v>
      </c>
      <c r="G1147" s="148" t="e">
        <f t="shared" ref="G1147:G1172" si="99">F1147/D1147</f>
        <v>#DIV/0!</v>
      </c>
      <c r="H1147" s="148" t="e">
        <f t="shared" ref="H1147:H1172" si="100">F1147/E1147</f>
        <v>#DIV/0!</v>
      </c>
      <c r="I1147" s="48">
        <f>F1147/F1172</f>
        <v>0</v>
      </c>
    </row>
    <row r="1148" spans="1:9" s="17" customFormat="1" ht="16.5" customHeight="1" x14ac:dyDescent="0.2">
      <c r="A1148" s="552">
        <v>16919</v>
      </c>
      <c r="B1148" s="790" t="s">
        <v>66</v>
      </c>
      <c r="C1148" s="791"/>
      <c r="D1148" s="158">
        <v>0</v>
      </c>
      <c r="E1148" s="158">
        <v>0</v>
      </c>
      <c r="F1148" s="158">
        <v>0</v>
      </c>
      <c r="G1148" s="148" t="e">
        <f t="shared" si="99"/>
        <v>#DIV/0!</v>
      </c>
      <c r="H1148" s="148" t="e">
        <f t="shared" si="100"/>
        <v>#DIV/0!</v>
      </c>
      <c r="I1148" s="48">
        <f>F1148/F1172</f>
        <v>0</v>
      </c>
    </row>
    <row r="1149" spans="1:9" s="17" customFormat="1" ht="16.5" customHeight="1" x14ac:dyDescent="0.2">
      <c r="A1149" s="552">
        <v>17519</v>
      </c>
      <c r="B1149" s="790" t="s">
        <v>25</v>
      </c>
      <c r="C1149" s="791"/>
      <c r="D1149" s="158">
        <v>0</v>
      </c>
      <c r="E1149" s="158">
        <v>0</v>
      </c>
      <c r="F1149" s="158">
        <v>0</v>
      </c>
      <c r="G1149" s="148" t="e">
        <f t="shared" si="99"/>
        <v>#DIV/0!</v>
      </c>
      <c r="H1149" s="148" t="e">
        <f t="shared" si="100"/>
        <v>#DIV/0!</v>
      </c>
      <c r="I1149" s="48">
        <f>F1149/F1172</f>
        <v>0</v>
      </c>
    </row>
    <row r="1150" spans="1:9" s="17" customFormat="1" ht="16.5" customHeight="1" x14ac:dyDescent="0.2">
      <c r="A1150" s="552">
        <v>180</v>
      </c>
      <c r="B1150" s="790" t="s">
        <v>273</v>
      </c>
      <c r="C1150" s="791"/>
      <c r="D1150" s="158">
        <v>0</v>
      </c>
      <c r="E1150" s="158">
        <v>0</v>
      </c>
      <c r="F1150" s="158">
        <v>0</v>
      </c>
      <c r="G1150" s="148" t="e">
        <f t="shared" si="99"/>
        <v>#DIV/0!</v>
      </c>
      <c r="H1150" s="148" t="e">
        <f t="shared" si="100"/>
        <v>#DIV/0!</v>
      </c>
      <c r="I1150" s="48">
        <f>F1150/F1172</f>
        <v>0</v>
      </c>
    </row>
    <row r="1151" spans="1:9" s="17" customFormat="1" ht="16.5" customHeight="1" x14ac:dyDescent="0.2">
      <c r="A1151" s="217">
        <v>18019</v>
      </c>
      <c r="B1151" s="801" t="s">
        <v>170</v>
      </c>
      <c r="C1151" s="802"/>
      <c r="D1151" s="145">
        <v>0</v>
      </c>
      <c r="E1151" s="5">
        <v>0</v>
      </c>
      <c r="F1151" s="145">
        <v>0</v>
      </c>
      <c r="G1151" s="143" t="e">
        <f t="shared" si="99"/>
        <v>#DIV/0!</v>
      </c>
      <c r="H1151" s="143" t="e">
        <f t="shared" si="100"/>
        <v>#DIV/0!</v>
      </c>
      <c r="I1151" s="76" t="e">
        <f>F1151/F1150</f>
        <v>#DIV/0!</v>
      </c>
    </row>
    <row r="1152" spans="1:9" s="17" customFormat="1" ht="16.5" customHeight="1" x14ac:dyDescent="0.2">
      <c r="A1152" s="217">
        <v>18295</v>
      </c>
      <c r="B1152" s="801" t="s">
        <v>171</v>
      </c>
      <c r="C1152" s="802"/>
      <c r="D1152" s="145">
        <v>0</v>
      </c>
      <c r="E1152" s="5">
        <v>0</v>
      </c>
      <c r="F1152" s="145">
        <v>0</v>
      </c>
      <c r="G1152" s="143" t="e">
        <f t="shared" si="99"/>
        <v>#DIV/0!</v>
      </c>
      <c r="H1152" s="143" t="e">
        <f t="shared" si="100"/>
        <v>#DIV/0!</v>
      </c>
      <c r="I1152" s="76" t="e">
        <f>F1152/F1150</f>
        <v>#DIV/0!</v>
      </c>
    </row>
    <row r="1153" spans="1:9" s="17" customFormat="1" ht="16.5" customHeight="1" x14ac:dyDescent="0.2">
      <c r="A1153" s="552">
        <v>19595</v>
      </c>
      <c r="B1153" s="790" t="s">
        <v>172</v>
      </c>
      <c r="C1153" s="791"/>
      <c r="D1153" s="158">
        <v>0</v>
      </c>
      <c r="E1153" s="158">
        <v>0</v>
      </c>
      <c r="F1153" s="158">
        <v>0</v>
      </c>
      <c r="G1153" s="148" t="e">
        <f t="shared" si="99"/>
        <v>#DIV/0!</v>
      </c>
      <c r="H1153" s="148" t="e">
        <f t="shared" si="100"/>
        <v>#DIV/0!</v>
      </c>
      <c r="I1153" s="48">
        <f>F1153/F1172</f>
        <v>0</v>
      </c>
    </row>
    <row r="1154" spans="1:9" s="17" customFormat="1" ht="16.5" customHeight="1" x14ac:dyDescent="0.2">
      <c r="A1154" s="552">
        <v>47019</v>
      </c>
      <c r="B1154" s="790" t="s">
        <v>71</v>
      </c>
      <c r="C1154" s="791"/>
      <c r="D1154" s="158">
        <v>189669</v>
      </c>
      <c r="E1154" s="158">
        <v>245418.31</v>
      </c>
      <c r="F1154" s="158">
        <v>240222.18</v>
      </c>
      <c r="G1154" s="148">
        <f t="shared" si="99"/>
        <v>1.2665336981794599</v>
      </c>
      <c r="H1154" s="148">
        <f t="shared" si="100"/>
        <v>0.97882745586504938</v>
      </c>
      <c r="I1154" s="48">
        <f>F1154/F1172</f>
        <v>0.22998372101111997</v>
      </c>
    </row>
    <row r="1155" spans="1:9" s="17" customFormat="1" ht="16.5" customHeight="1" x14ac:dyDescent="0.2">
      <c r="A1155" s="552">
        <v>48019</v>
      </c>
      <c r="B1155" s="790" t="s">
        <v>72</v>
      </c>
      <c r="C1155" s="791"/>
      <c r="D1155" s="158">
        <v>0</v>
      </c>
      <c r="E1155" s="158">
        <v>100000</v>
      </c>
      <c r="F1155" s="158">
        <v>70317.14</v>
      </c>
      <c r="G1155" s="148" t="e">
        <f t="shared" si="99"/>
        <v>#DIV/0!</v>
      </c>
      <c r="H1155" s="148">
        <f t="shared" si="100"/>
        <v>0.7031714</v>
      </c>
      <c r="I1155" s="48">
        <f>F1155/F1172</f>
        <v>6.7320167971416572E-2</v>
      </c>
    </row>
    <row r="1156" spans="1:9" s="17" customFormat="1" ht="16.5" customHeight="1" x14ac:dyDescent="0.2">
      <c r="A1156" s="552">
        <v>650</v>
      </c>
      <c r="B1156" s="790" t="s">
        <v>31</v>
      </c>
      <c r="C1156" s="791"/>
      <c r="D1156" s="158">
        <v>0</v>
      </c>
      <c r="E1156" s="158">
        <v>0</v>
      </c>
      <c r="F1156" s="158">
        <v>0</v>
      </c>
      <c r="G1156" s="148" t="e">
        <f t="shared" si="99"/>
        <v>#DIV/0!</v>
      </c>
      <c r="H1156" s="148" t="e">
        <f t="shared" si="100"/>
        <v>#DIV/0!</v>
      </c>
      <c r="I1156" s="48">
        <f>F1156/F1172</f>
        <v>0</v>
      </c>
    </row>
    <row r="1157" spans="1:9" s="17" customFormat="1" ht="16.5" customHeight="1" x14ac:dyDescent="0.2">
      <c r="A1157" s="217">
        <v>65095</v>
      </c>
      <c r="B1157" s="801" t="s">
        <v>173</v>
      </c>
      <c r="C1157" s="802"/>
      <c r="D1157" s="5">
        <v>0</v>
      </c>
      <c r="E1157" s="5">
        <v>0</v>
      </c>
      <c r="F1157" s="5">
        <v>0</v>
      </c>
      <c r="G1157" s="143" t="e">
        <f t="shared" si="99"/>
        <v>#DIV/0!</v>
      </c>
      <c r="H1157" s="143" t="e">
        <f t="shared" si="100"/>
        <v>#DIV/0!</v>
      </c>
      <c r="I1157" s="76" t="e">
        <f>F1157/F1156</f>
        <v>#DIV/0!</v>
      </c>
    </row>
    <row r="1158" spans="1:9" s="17" customFormat="1" ht="16.5" customHeight="1" x14ac:dyDescent="0.2">
      <c r="A1158" s="217">
        <v>65495</v>
      </c>
      <c r="B1158" s="801" t="s">
        <v>174</v>
      </c>
      <c r="C1158" s="802"/>
      <c r="D1158" s="5">
        <v>0</v>
      </c>
      <c r="E1158" s="5">
        <v>0</v>
      </c>
      <c r="F1158" s="5">
        <v>0</v>
      </c>
      <c r="G1158" s="143" t="e">
        <f t="shared" si="99"/>
        <v>#DIV/0!</v>
      </c>
      <c r="H1158" s="143" t="e">
        <f t="shared" si="100"/>
        <v>#DIV/0!</v>
      </c>
      <c r="I1158" s="76" t="e">
        <f>F1158/F1156</f>
        <v>#DIV/0!</v>
      </c>
    </row>
    <row r="1159" spans="1:9" s="17" customFormat="1" ht="16.5" customHeight="1" x14ac:dyDescent="0.2">
      <c r="A1159" s="552">
        <v>66100</v>
      </c>
      <c r="B1159" s="790" t="s">
        <v>74</v>
      </c>
      <c r="C1159" s="791"/>
      <c r="D1159" s="158">
        <v>0</v>
      </c>
      <c r="E1159" s="158">
        <v>0</v>
      </c>
      <c r="F1159" s="158">
        <v>0</v>
      </c>
      <c r="G1159" s="148" t="e">
        <f t="shared" si="99"/>
        <v>#DIV/0!</v>
      </c>
      <c r="H1159" s="148" t="e">
        <f t="shared" si="100"/>
        <v>#DIV/0!</v>
      </c>
      <c r="I1159" s="48">
        <f>F1159/F1172</f>
        <v>0</v>
      </c>
    </row>
    <row r="1160" spans="1:9" s="17" customFormat="1" ht="16.5" customHeight="1" x14ac:dyDescent="0.2">
      <c r="A1160" s="552"/>
      <c r="B1160" s="790" t="s">
        <v>75</v>
      </c>
      <c r="C1160" s="791"/>
      <c r="D1160" s="383">
        <f>D1161+D1162</f>
        <v>29650</v>
      </c>
      <c r="E1160" s="158">
        <f>E1161+E1162</f>
        <v>60000</v>
      </c>
      <c r="F1160" s="383">
        <f>F1161+F1162</f>
        <v>47200</v>
      </c>
      <c r="G1160" s="148">
        <f t="shared" si="99"/>
        <v>1.5919055649241147</v>
      </c>
      <c r="H1160" s="148">
        <f t="shared" si="100"/>
        <v>0.78666666666666663</v>
      </c>
      <c r="I1160" s="48">
        <f>F1160/F1172</f>
        <v>4.5188298731303089E-2</v>
      </c>
    </row>
    <row r="1161" spans="1:9" s="17" customFormat="1" ht="16.5" customHeight="1" x14ac:dyDescent="0.2">
      <c r="A1161" s="217">
        <v>73028</v>
      </c>
      <c r="B1161" s="801" t="s">
        <v>175</v>
      </c>
      <c r="C1161" s="802"/>
      <c r="D1161" s="5">
        <v>29650</v>
      </c>
      <c r="E1161" s="156">
        <v>0</v>
      </c>
      <c r="F1161" s="5">
        <v>0</v>
      </c>
      <c r="G1161" s="143">
        <f t="shared" si="99"/>
        <v>0</v>
      </c>
      <c r="H1161" s="143" t="e">
        <f t="shared" si="100"/>
        <v>#DIV/0!</v>
      </c>
      <c r="I1161" s="76">
        <f>F1161/F1160</f>
        <v>0</v>
      </c>
    </row>
    <row r="1162" spans="1:9" s="17" customFormat="1" ht="16.5" customHeight="1" x14ac:dyDescent="0.2">
      <c r="A1162" s="217">
        <v>74100</v>
      </c>
      <c r="B1162" s="801" t="s">
        <v>176</v>
      </c>
      <c r="C1162" s="802"/>
      <c r="D1162" s="5">
        <v>0</v>
      </c>
      <c r="E1162" s="5">
        <v>60000</v>
      </c>
      <c r="F1162" s="5">
        <v>47200</v>
      </c>
      <c r="G1162" s="143" t="e">
        <f t="shared" si="99"/>
        <v>#DIV/0!</v>
      </c>
      <c r="H1162" s="143">
        <f t="shared" si="100"/>
        <v>0.78666666666666663</v>
      </c>
      <c r="I1162" s="76">
        <f>F1162/F1160</f>
        <v>1</v>
      </c>
    </row>
    <row r="1163" spans="1:9" s="17" customFormat="1" ht="16.5" customHeight="1" x14ac:dyDescent="0.2">
      <c r="A1163" s="385">
        <v>75591</v>
      </c>
      <c r="B1163" s="790" t="s">
        <v>177</v>
      </c>
      <c r="C1163" s="791"/>
      <c r="D1163" s="158">
        <v>58500</v>
      </c>
      <c r="E1163" s="383">
        <v>80010.8</v>
      </c>
      <c r="F1163" s="158">
        <v>79836.61</v>
      </c>
      <c r="G1163" s="148">
        <f t="shared" si="99"/>
        <v>1.3647283760683762</v>
      </c>
      <c r="H1163" s="148">
        <f t="shared" si="100"/>
        <v>0.99782291890594765</v>
      </c>
      <c r="I1163" s="48">
        <f>F1163/F1172</f>
        <v>7.6433910643528391E-2</v>
      </c>
    </row>
    <row r="1164" spans="1:9" s="17" customFormat="1" ht="16.5" customHeight="1" x14ac:dyDescent="0.2">
      <c r="A1164" s="552">
        <v>85019</v>
      </c>
      <c r="B1164" s="790" t="s">
        <v>40</v>
      </c>
      <c r="C1164" s="791"/>
      <c r="D1164" s="158">
        <f>D1165+D1166</f>
        <v>200600</v>
      </c>
      <c r="E1164" s="158">
        <f t="shared" ref="E1164:F1164" si="101">E1165+E1166</f>
        <v>354673.83</v>
      </c>
      <c r="F1164" s="158">
        <f t="shared" si="101"/>
        <v>346343.06</v>
      </c>
      <c r="G1164" s="148">
        <f t="shared" si="99"/>
        <v>1.7265356929212363</v>
      </c>
      <c r="H1164" s="148">
        <f t="shared" si="100"/>
        <v>0.97651146124877608</v>
      </c>
      <c r="I1164" s="48">
        <f>F1164/F1172</f>
        <v>0.33158164531342438</v>
      </c>
    </row>
    <row r="1165" spans="1:9" s="17" customFormat="1" ht="16.5" customHeight="1" x14ac:dyDescent="0.2">
      <c r="A1165" s="368">
        <v>85019</v>
      </c>
      <c r="B1165" s="801" t="s">
        <v>499</v>
      </c>
      <c r="C1165" s="802"/>
      <c r="D1165" s="5">
        <v>200600</v>
      </c>
      <c r="E1165" s="5">
        <v>314673.83</v>
      </c>
      <c r="F1165" s="5">
        <v>306697.24</v>
      </c>
      <c r="G1165" s="143">
        <f t="shared" si="99"/>
        <v>1.5288995014955133</v>
      </c>
      <c r="H1165" s="143">
        <f t="shared" si="100"/>
        <v>0.97465124443300533</v>
      </c>
      <c r="I1165" s="76">
        <f>F1165/F1164</f>
        <v>0.88553020233753199</v>
      </c>
    </row>
    <row r="1166" spans="1:9" s="17" customFormat="1" ht="16.5" customHeight="1" x14ac:dyDescent="0.2">
      <c r="A1166" s="368">
        <v>85184</v>
      </c>
      <c r="B1166" s="801" t="s">
        <v>500</v>
      </c>
      <c r="C1166" s="802"/>
      <c r="D1166" s="5">
        <v>0</v>
      </c>
      <c r="E1166" s="5">
        <v>40000</v>
      </c>
      <c r="F1166" s="5">
        <v>39645.82</v>
      </c>
      <c r="G1166" s="143" t="e">
        <f t="shared" si="99"/>
        <v>#DIV/0!</v>
      </c>
      <c r="H1166" s="143">
        <f t="shared" si="100"/>
        <v>0.99114550000000001</v>
      </c>
      <c r="I1166" s="76">
        <f>F1166/F1164</f>
        <v>0.11446979766246795</v>
      </c>
    </row>
    <row r="1167" spans="1:9" s="17" customFormat="1" ht="16.5" customHeight="1" x14ac:dyDescent="0.2">
      <c r="A1167" s="552"/>
      <c r="B1167" s="790" t="s">
        <v>79</v>
      </c>
      <c r="C1167" s="791"/>
      <c r="D1167" s="158">
        <f>D1168+D1169+D1170+D1171</f>
        <v>0</v>
      </c>
      <c r="E1167" s="158">
        <f>E1168+E1169+E1170+E1171</f>
        <v>0</v>
      </c>
      <c r="F1167" s="158">
        <f>F1168+F1169+F1170+F1171</f>
        <v>0</v>
      </c>
      <c r="G1167" s="148" t="e">
        <f t="shared" si="99"/>
        <v>#DIV/0!</v>
      </c>
      <c r="H1167" s="148" t="e">
        <f t="shared" si="100"/>
        <v>#DIV/0!</v>
      </c>
      <c r="I1167" s="48">
        <f>F1167/F1172</f>
        <v>0</v>
      </c>
    </row>
    <row r="1168" spans="1:9" s="17" customFormat="1" ht="16.5" customHeight="1" x14ac:dyDescent="0.2">
      <c r="A1168" s="217">
        <v>92095</v>
      </c>
      <c r="B1168" s="801" t="s">
        <v>178</v>
      </c>
      <c r="C1168" s="802"/>
      <c r="D1168" s="5">
        <v>0</v>
      </c>
      <c r="E1168" s="5">
        <v>0</v>
      </c>
      <c r="F1168" s="5">
        <v>0</v>
      </c>
      <c r="G1168" s="143" t="e">
        <f t="shared" si="99"/>
        <v>#DIV/0!</v>
      </c>
      <c r="H1168" s="143" t="e">
        <f t="shared" si="100"/>
        <v>#DIV/0!</v>
      </c>
      <c r="I1168" s="76" t="e">
        <f>F1168/F1167</f>
        <v>#DIV/0!</v>
      </c>
    </row>
    <row r="1169" spans="1:9" s="17" customFormat="1" ht="16.5" customHeight="1" x14ac:dyDescent="0.2">
      <c r="A1169" s="217">
        <v>92570</v>
      </c>
      <c r="B1169" s="801" t="s">
        <v>179</v>
      </c>
      <c r="C1169" s="802"/>
      <c r="D1169" s="5">
        <v>0</v>
      </c>
      <c r="E1169" s="5">
        <v>0</v>
      </c>
      <c r="F1169" s="5">
        <v>0</v>
      </c>
      <c r="G1169" s="143" t="e">
        <f t="shared" si="99"/>
        <v>#DIV/0!</v>
      </c>
      <c r="H1169" s="143" t="e">
        <f t="shared" si="100"/>
        <v>#DIV/0!</v>
      </c>
      <c r="I1169" s="76" t="e">
        <f>F1169/F1167</f>
        <v>#DIV/0!</v>
      </c>
    </row>
    <row r="1170" spans="1:9" s="17" customFormat="1" ht="16.5" customHeight="1" x14ac:dyDescent="0.2">
      <c r="A1170" s="217">
        <v>93540</v>
      </c>
      <c r="B1170" s="801" t="s">
        <v>180</v>
      </c>
      <c r="C1170" s="802"/>
      <c r="D1170" s="5">
        <v>0</v>
      </c>
      <c r="E1170" s="5">
        <v>0</v>
      </c>
      <c r="F1170" s="5">
        <v>0</v>
      </c>
      <c r="G1170" s="143" t="e">
        <f t="shared" si="99"/>
        <v>#DIV/0!</v>
      </c>
      <c r="H1170" s="143" t="e">
        <f t="shared" si="100"/>
        <v>#DIV/0!</v>
      </c>
      <c r="I1170" s="76" t="e">
        <f>F1170/F1167</f>
        <v>#DIV/0!</v>
      </c>
    </row>
    <row r="1171" spans="1:9" s="17" customFormat="1" ht="16.5" customHeight="1" x14ac:dyDescent="0.2">
      <c r="A1171" s="217">
        <v>94740</v>
      </c>
      <c r="B1171" s="801" t="s">
        <v>181</v>
      </c>
      <c r="C1171" s="802"/>
      <c r="D1171" s="5">
        <v>0</v>
      </c>
      <c r="E1171" s="5">
        <v>0</v>
      </c>
      <c r="F1171" s="5">
        <v>0</v>
      </c>
      <c r="G1171" s="143" t="e">
        <f t="shared" si="99"/>
        <v>#DIV/0!</v>
      </c>
      <c r="H1171" s="143" t="e">
        <f t="shared" si="100"/>
        <v>#DIV/0!</v>
      </c>
      <c r="I1171" s="76" t="e">
        <f>F1171/F1167</f>
        <v>#DIV/0!</v>
      </c>
    </row>
    <row r="1172" spans="1:9" s="17" customFormat="1" ht="16.5" customHeight="1" x14ac:dyDescent="0.2">
      <c r="A1172" s="552"/>
      <c r="B1172" s="560" t="s">
        <v>84</v>
      </c>
      <c r="C1172" s="561"/>
      <c r="D1172" s="386">
        <f>D1140+D1141+D1145+D1147+D1148+D1149+D1150+D1152+D1153+D1154+D1155+D1156+D1158+D1159+D1160+D1163+D1164+D1167</f>
        <v>772864</v>
      </c>
      <c r="E1172" s="386">
        <f>E1140+E1141+E1145+E1147+E1148+E1149+E1150+E1153+E1154+E1155+E1156+E1159+E1160+E1163+E1164+E1167</f>
        <v>1130247.05</v>
      </c>
      <c r="F1172" s="386">
        <f>F1140+F1141+F1145+F1147+F1148+F1149+F1150+F1152+F1153+F1154+F1155+F1156+F1158+F1159+F1160+F1163+F1164+F1167</f>
        <v>1044518.19</v>
      </c>
      <c r="G1172" s="148">
        <f t="shared" si="99"/>
        <v>1.3514902880713813</v>
      </c>
      <c r="H1172" s="148">
        <f t="shared" si="100"/>
        <v>0.92415033509709221</v>
      </c>
      <c r="I1172" s="48">
        <f>I1140+I1141+I1145+I1147+I1148+I1149+I1150+I1153+I1154+I1155+I1156+I1159+I1160+I1163+I1164+I1167</f>
        <v>1</v>
      </c>
    </row>
    <row r="1173" spans="1:9" s="17" customFormat="1" ht="16.5" customHeight="1" x14ac:dyDescent="0.2">
      <c r="A1173" s="587"/>
      <c r="B1173" s="159"/>
      <c r="C1173" s="160"/>
      <c r="D1173" s="160"/>
      <c r="E1173" s="190"/>
      <c r="F1173" s="162"/>
      <c r="G1173" s="537"/>
      <c r="H1173" s="15"/>
      <c r="I1173" s="15"/>
    </row>
    <row r="1174" spans="1:9" s="17" customFormat="1" ht="16.5" customHeight="1" x14ac:dyDescent="0.2">
      <c r="A1174" s="21"/>
      <c r="B1174" s="811" t="s">
        <v>706</v>
      </c>
      <c r="C1174" s="811"/>
      <c r="D1174" s="811"/>
      <c r="E1174" s="811"/>
      <c r="F1174" s="811"/>
      <c r="G1174" s="811"/>
      <c r="H1174" s="811"/>
      <c r="I1174" s="811"/>
    </row>
    <row r="1175" spans="1:9" s="17" customFormat="1" ht="16.5" customHeight="1" x14ac:dyDescent="0.2">
      <c r="A1175" s="811" t="s">
        <v>707</v>
      </c>
      <c r="B1175" s="811"/>
      <c r="C1175" s="811"/>
      <c r="D1175" s="811"/>
      <c r="E1175" s="811"/>
      <c r="F1175" s="811"/>
      <c r="G1175" s="811"/>
      <c r="H1175" s="811"/>
      <c r="I1175" s="811"/>
    </row>
    <row r="1176" spans="1:9" s="17" customFormat="1" ht="16.5" customHeight="1" x14ac:dyDescent="0.2">
      <c r="A1176" s="665"/>
      <c r="B1176" s="665"/>
      <c r="C1176" s="665"/>
      <c r="D1176" s="665"/>
      <c r="E1176" s="665"/>
      <c r="F1176" s="665"/>
      <c r="G1176" s="665"/>
      <c r="H1176" s="665"/>
      <c r="I1176" s="665"/>
    </row>
    <row r="1177" spans="1:9" s="17" customFormat="1" ht="16.5" customHeight="1" x14ac:dyDescent="0.2">
      <c r="A1177" s="665"/>
      <c r="B1177" s="665"/>
      <c r="C1177" s="665"/>
      <c r="D1177" s="665"/>
      <c r="E1177" s="665"/>
      <c r="F1177" s="665"/>
      <c r="G1177" s="665"/>
      <c r="H1177" s="665"/>
      <c r="I1177" s="665"/>
    </row>
    <row r="1178" spans="1:9" s="17" customFormat="1" ht="16.5" customHeight="1" x14ac:dyDescent="0.2">
      <c r="A1178" s="665"/>
      <c r="B1178" s="665"/>
      <c r="C1178" s="665"/>
      <c r="D1178" s="665"/>
      <c r="E1178" s="665"/>
      <c r="F1178" s="665"/>
      <c r="G1178" s="665"/>
      <c r="H1178" s="665"/>
      <c r="I1178" s="665"/>
    </row>
    <row r="1179" spans="1:9" s="17" customFormat="1" ht="16.5" customHeight="1" x14ac:dyDescent="0.2">
      <c r="A1179" s="665"/>
      <c r="B1179" s="665"/>
      <c r="C1179" s="665"/>
      <c r="D1179" s="665"/>
      <c r="E1179" s="665"/>
      <c r="F1179" s="665"/>
      <c r="G1179" s="665"/>
      <c r="H1179" s="665"/>
      <c r="I1179" s="665"/>
    </row>
    <row r="1180" spans="1:9" s="17" customFormat="1" ht="16.5" customHeight="1" x14ac:dyDescent="0.2">
      <c r="A1180" s="665"/>
      <c r="B1180" s="665"/>
      <c r="C1180" s="665"/>
      <c r="D1180" s="665"/>
      <c r="E1180" s="665"/>
      <c r="F1180" s="665"/>
      <c r="G1180" s="665"/>
      <c r="H1180" s="665"/>
      <c r="I1180" s="665"/>
    </row>
    <row r="1181" spans="1:9" s="17" customFormat="1" ht="16.5" customHeight="1" x14ac:dyDescent="0.2">
      <c r="A1181" s="665"/>
      <c r="B1181" s="665"/>
      <c r="C1181" s="665"/>
      <c r="D1181" s="665"/>
      <c r="E1181" s="665"/>
      <c r="F1181" s="665"/>
      <c r="G1181" s="665"/>
      <c r="H1181" s="665"/>
      <c r="I1181" s="665"/>
    </row>
    <row r="1182" spans="1:9" s="17" customFormat="1" ht="16.5" customHeight="1" x14ac:dyDescent="0.2">
      <c r="A1182" s="665"/>
      <c r="B1182" s="665"/>
      <c r="C1182" s="665"/>
      <c r="D1182" s="665"/>
      <c r="E1182" s="665"/>
      <c r="F1182" s="665"/>
      <c r="G1182" s="665"/>
      <c r="H1182" s="665"/>
      <c r="I1182" s="665"/>
    </row>
    <row r="1183" spans="1:9" s="17" customFormat="1" ht="16.5" customHeight="1" x14ac:dyDescent="0.2">
      <c r="A1183" s="665"/>
      <c r="B1183" s="665"/>
      <c r="C1183" s="665"/>
      <c r="D1183" s="665"/>
      <c r="E1183" s="665"/>
      <c r="F1183" s="665"/>
      <c r="G1183" s="665"/>
      <c r="H1183" s="665"/>
      <c r="I1183" s="306">
        <v>19</v>
      </c>
    </row>
    <row r="1184" spans="1:9" s="17" customFormat="1" ht="16.5" customHeight="1" x14ac:dyDescent="0.2">
      <c r="A1184" s="665"/>
      <c r="B1184" s="665"/>
      <c r="C1184" s="665"/>
      <c r="D1184" s="665"/>
      <c r="E1184" s="665"/>
      <c r="F1184" s="665"/>
      <c r="G1184" s="665"/>
      <c r="H1184" s="665"/>
      <c r="I1184" s="665"/>
    </row>
    <row r="1185" spans="1:9" s="17" customFormat="1" ht="16.5" customHeight="1" x14ac:dyDescent="0.2">
      <c r="A1185" s="528"/>
      <c r="B1185" s="528"/>
      <c r="C1185" s="528"/>
      <c r="D1185" s="528"/>
      <c r="E1185" s="528"/>
      <c r="F1185" s="528"/>
      <c r="G1185" s="528"/>
      <c r="H1185" s="528"/>
      <c r="I1185" s="528"/>
    </row>
    <row r="1186" spans="1:9" s="17" customFormat="1" ht="16.5" customHeight="1" x14ac:dyDescent="0.2">
      <c r="A1186" s="537"/>
      <c r="B1186" s="812" t="s">
        <v>282</v>
      </c>
      <c r="C1186" s="812"/>
      <c r="D1186" s="537"/>
      <c r="E1186" s="537"/>
      <c r="F1186" s="537"/>
      <c r="G1186" s="537"/>
      <c r="H1186" s="537"/>
      <c r="I1186" s="15"/>
    </row>
    <row r="1187" spans="1:9" s="17" customFormat="1" ht="16.5" customHeight="1" x14ac:dyDescent="0.2">
      <c r="A1187" s="537"/>
      <c r="B1187" s="537"/>
      <c r="C1187" s="537"/>
      <c r="D1187" s="537"/>
      <c r="E1187" s="537"/>
      <c r="F1187" s="537"/>
      <c r="G1187" s="537"/>
      <c r="H1187" s="537"/>
      <c r="I1187" s="15"/>
    </row>
    <row r="1188" spans="1:9" s="17" customFormat="1" ht="16.5" customHeight="1" x14ac:dyDescent="0.2">
      <c r="A1188" s="714" t="s">
        <v>711</v>
      </c>
      <c r="B1188" s="714"/>
      <c r="C1188" s="714"/>
      <c r="D1188" s="714"/>
      <c r="E1188" s="714"/>
      <c r="F1188" s="714"/>
      <c r="G1188" s="714"/>
      <c r="H1188" s="714"/>
      <c r="I1188" s="714"/>
    </row>
    <row r="1189" spans="1:9" s="17" customFormat="1" ht="16.5" customHeight="1" x14ac:dyDescent="0.2">
      <c r="A1189" s="714" t="s">
        <v>712</v>
      </c>
      <c r="B1189" s="714"/>
      <c r="C1189" s="714"/>
      <c r="D1189" s="714"/>
      <c r="E1189" s="714"/>
      <c r="F1189" s="714"/>
      <c r="G1189" s="714"/>
      <c r="H1189" s="714"/>
      <c r="I1189" s="714"/>
    </row>
    <row r="1190" spans="1:9" s="17" customFormat="1" ht="16.5" customHeight="1" x14ac:dyDescent="0.2">
      <c r="A1190" s="537" t="s">
        <v>417</v>
      </c>
      <c r="B1190" s="537"/>
      <c r="C1190" s="537"/>
      <c r="D1190" s="537"/>
      <c r="E1190" s="537"/>
      <c r="F1190" s="537"/>
      <c r="G1190" s="537"/>
      <c r="H1190" s="537"/>
      <c r="I1190" s="537"/>
    </row>
    <row r="1191" spans="1:9" s="17" customFormat="1" ht="16.5" customHeight="1" x14ac:dyDescent="0.2">
      <c r="A1191" s="523"/>
      <c r="B1191" s="523"/>
      <c r="C1191" s="523"/>
      <c r="D1191" s="523"/>
      <c r="E1191" s="701" t="s">
        <v>85</v>
      </c>
      <c r="F1191" s="523"/>
      <c r="G1191" s="523"/>
      <c r="H1191" s="523"/>
      <c r="I1191" s="523"/>
    </row>
    <row r="1192" spans="1:9" s="17" customFormat="1" ht="16.5" customHeight="1" x14ac:dyDescent="0.2">
      <c r="A1192" s="192"/>
      <c r="B1192" s="214"/>
      <c r="C1192" s="15"/>
      <c r="D1192" s="537"/>
      <c r="E1192" s="701"/>
      <c r="F1192" s="537"/>
      <c r="G1192" s="192"/>
      <c r="H1192" s="537"/>
      <c r="I1192" s="537"/>
    </row>
    <row r="1193" spans="1:9" s="17" customFormat="1" ht="16.5" customHeight="1" x14ac:dyDescent="0.2">
      <c r="A1193" s="809" t="s">
        <v>150</v>
      </c>
      <c r="B1193" s="702" t="s">
        <v>151</v>
      </c>
      <c r="C1193" s="703"/>
      <c r="D1193" s="380" t="s">
        <v>86</v>
      </c>
      <c r="E1193" s="530" t="s">
        <v>152</v>
      </c>
      <c r="F1193" s="40" t="s">
        <v>87</v>
      </c>
      <c r="G1193" s="706" t="s">
        <v>52</v>
      </c>
      <c r="H1193" s="707"/>
      <c r="I1193" s="708" t="s">
        <v>53</v>
      </c>
    </row>
    <row r="1194" spans="1:9" s="17" customFormat="1" ht="16.5" customHeight="1" x14ac:dyDescent="0.2">
      <c r="A1194" s="810"/>
      <c r="B1194" s="704"/>
      <c r="C1194" s="705"/>
      <c r="D1194" s="381" t="s">
        <v>541</v>
      </c>
      <c r="E1194" s="41" t="s">
        <v>573</v>
      </c>
      <c r="F1194" s="41" t="s">
        <v>607</v>
      </c>
      <c r="G1194" s="24" t="s">
        <v>55</v>
      </c>
      <c r="H1194" s="24" t="s">
        <v>56</v>
      </c>
      <c r="I1194" s="709"/>
    </row>
    <row r="1195" spans="1:9" s="17" customFormat="1" ht="16.5" customHeight="1" x14ac:dyDescent="0.2">
      <c r="A1195" s="131">
        <v>1</v>
      </c>
      <c r="B1195" s="710">
        <v>2</v>
      </c>
      <c r="C1195" s="711"/>
      <c r="D1195" s="228">
        <v>3</v>
      </c>
      <c r="E1195" s="129">
        <v>4</v>
      </c>
      <c r="F1195" s="228">
        <v>5</v>
      </c>
      <c r="G1195" s="228">
        <v>6</v>
      </c>
      <c r="H1195" s="228">
        <v>7</v>
      </c>
      <c r="I1195" s="229">
        <v>8</v>
      </c>
    </row>
    <row r="1196" spans="1:9" s="17" customFormat="1" ht="16.5" customHeight="1" x14ac:dyDescent="0.2">
      <c r="A1196" s="81">
        <v>10</v>
      </c>
      <c r="B1196" s="716" t="s">
        <v>198</v>
      </c>
      <c r="C1196" s="717"/>
      <c r="D1196" s="186">
        <f>125463.3+323953.71+1591058.36+100000+349509.36+104343+44104.4+38896.4+60000.68+151961+151937.2+116811</f>
        <v>3158038.41</v>
      </c>
      <c r="E1196" s="5">
        <f>245000+250000+5134803.53+30000+410000+400500+180000+150000+509324.47+12000+480000+383401+550000+61626</f>
        <v>8796655</v>
      </c>
      <c r="F1196" s="186">
        <f>158548.93+220000+3461364.21+25400+295397.93+268313.39+57210+150000+167812.25+399699.84+293401+331117</f>
        <v>5828264.5499999998</v>
      </c>
      <c r="G1196" s="86">
        <f t="shared" ref="G1196:G1203" si="102">F1196/D1196</f>
        <v>1.8455331422013956</v>
      </c>
      <c r="H1196" s="87">
        <f t="shared" ref="H1196:H1203" si="103">F1196/E1196</f>
        <v>0.66255463582464014</v>
      </c>
      <c r="I1196" s="87">
        <f>F1196/F1203</f>
        <v>0.72349034197082618</v>
      </c>
    </row>
    <row r="1197" spans="1:9" s="17" customFormat="1" ht="16.5" customHeight="1" x14ac:dyDescent="0.2">
      <c r="A1197" s="81">
        <v>21</v>
      </c>
      <c r="B1197" s="716" t="s">
        <v>109</v>
      </c>
      <c r="C1197" s="717"/>
      <c r="D1197" s="186">
        <f>11014.95+678792+194613.84+40299.84+46795.5+33317.1</f>
        <v>1004833.2299999999</v>
      </c>
      <c r="E1197" s="5">
        <f>80000+2152692.7+70000+127000+30000+20675.53+134274.77+126599+150000+338374</f>
        <v>3229616</v>
      </c>
      <c r="F1197" s="186">
        <f>35432+908843.03+2655+20317.22+86099+5000+272872</f>
        <v>1331218.25</v>
      </c>
      <c r="G1197" s="86">
        <f t="shared" si="102"/>
        <v>1.3248151138472999</v>
      </c>
      <c r="H1197" s="87">
        <f t="shared" si="103"/>
        <v>0.41219087656241488</v>
      </c>
      <c r="I1197" s="87">
        <f>F1197/F1203</f>
        <v>0.16525048557212538</v>
      </c>
    </row>
    <row r="1198" spans="1:9" s="17" customFormat="1" ht="16.5" customHeight="1" x14ac:dyDescent="0.2">
      <c r="A1198" s="81">
        <v>22</v>
      </c>
      <c r="B1198" s="716" t="s">
        <v>199</v>
      </c>
      <c r="C1198" s="717"/>
      <c r="D1198" s="186">
        <f>1318406.08+143009.8+111280+35352</f>
        <v>1608047.8800000001</v>
      </c>
      <c r="E1198" s="5">
        <f>0.26+475531.98+12984.77+1880.76+783764.47+72143.77+61267.4+136680</f>
        <v>1544253.41</v>
      </c>
      <c r="F1198" s="186">
        <f>33714.5+8127.99+447506.88+67236.1+46929.23+126772.49</f>
        <v>730287.19</v>
      </c>
      <c r="G1198" s="86">
        <f t="shared" si="102"/>
        <v>0.4541451775677226</v>
      </c>
      <c r="H1198" s="87">
        <f t="shared" si="103"/>
        <v>0.4729063152918665</v>
      </c>
      <c r="I1198" s="87">
        <f>F1198/F1203</f>
        <v>9.0654040203101915E-2</v>
      </c>
    </row>
    <row r="1199" spans="1:9" s="17" customFormat="1" ht="16.5" customHeight="1" x14ac:dyDescent="0.2">
      <c r="A1199" s="81">
        <v>31</v>
      </c>
      <c r="B1199" s="716" t="s">
        <v>200</v>
      </c>
      <c r="C1199" s="717"/>
      <c r="D1199" s="186">
        <v>0</v>
      </c>
      <c r="E1199" s="5">
        <f>23104.81+2015.49+352</f>
        <v>25472.300000000003</v>
      </c>
      <c r="F1199" s="186">
        <v>0</v>
      </c>
      <c r="G1199" s="86" t="e">
        <f t="shared" si="102"/>
        <v>#DIV/0!</v>
      </c>
      <c r="H1199" s="87">
        <f t="shared" si="103"/>
        <v>0</v>
      </c>
      <c r="I1199" s="87">
        <f>F1199/F1203</f>
        <v>0</v>
      </c>
    </row>
    <row r="1200" spans="1:9" s="17" customFormat="1" ht="16.5" customHeight="1" x14ac:dyDescent="0.2">
      <c r="A1200" s="81" t="s">
        <v>158</v>
      </c>
      <c r="B1200" s="716" t="s">
        <v>110</v>
      </c>
      <c r="C1200" s="717"/>
      <c r="D1200" s="186">
        <f>83464</f>
        <v>83464</v>
      </c>
      <c r="E1200" s="5">
        <f>25990+860.01+910831.83+361.2+17</f>
        <v>938060.03999999992</v>
      </c>
      <c r="F1200" s="186">
        <f>25990+140000</f>
        <v>165990</v>
      </c>
      <c r="G1200" s="86">
        <f t="shared" si="102"/>
        <v>1.9887616217770536</v>
      </c>
      <c r="H1200" s="87">
        <f t="shared" si="103"/>
        <v>0.17695029414108718</v>
      </c>
      <c r="I1200" s="87">
        <f>F1200/F1203</f>
        <v>2.0605132253946407E-2</v>
      </c>
    </row>
    <row r="1201" spans="1:9" s="17" customFormat="1" ht="16.5" customHeight="1" x14ac:dyDescent="0.2">
      <c r="A1201" s="230">
        <v>38</v>
      </c>
      <c r="B1201" s="507" t="s">
        <v>518</v>
      </c>
      <c r="C1201" s="508"/>
      <c r="D1201" s="186"/>
      <c r="E1201" s="145">
        <v>0</v>
      </c>
      <c r="F1201" s="186"/>
      <c r="G1201" s="86"/>
      <c r="H1201" s="87"/>
      <c r="I1201" s="87"/>
    </row>
    <row r="1202" spans="1:9" s="17" customFormat="1" ht="16.5" customHeight="1" x14ac:dyDescent="0.2">
      <c r="A1202" s="230" t="s">
        <v>159</v>
      </c>
      <c r="B1202" s="716" t="s">
        <v>160</v>
      </c>
      <c r="C1202" s="717"/>
      <c r="D1202" s="186">
        <v>0</v>
      </c>
      <c r="E1202" s="145">
        <v>0</v>
      </c>
      <c r="F1202" s="186">
        <v>0</v>
      </c>
      <c r="G1202" s="86" t="e">
        <f t="shared" si="102"/>
        <v>#DIV/0!</v>
      </c>
      <c r="H1202" s="87" t="e">
        <f t="shared" si="103"/>
        <v>#DIV/0!</v>
      </c>
      <c r="I1202" s="87">
        <f>F1202/F1203</f>
        <v>0</v>
      </c>
    </row>
    <row r="1203" spans="1:9" s="17" customFormat="1" ht="16.5" customHeight="1" x14ac:dyDescent="0.2">
      <c r="A1203" s="220"/>
      <c r="B1203" s="718" t="s">
        <v>192</v>
      </c>
      <c r="C1203" s="719"/>
      <c r="D1203" s="386">
        <f>D1196+D1197+D1198+D1199+D1200+D1202</f>
        <v>5854383.5200000005</v>
      </c>
      <c r="E1203" s="386">
        <f>E1196+E1197+E1198+E1199+E1200+E1202</f>
        <v>14534056.75</v>
      </c>
      <c r="F1203" s="386">
        <f t="shared" ref="F1203" si="104">F1196+F1197+F1198+F1199+F1200+F1202</f>
        <v>8055759.9900000002</v>
      </c>
      <c r="G1203" s="169">
        <f t="shared" si="102"/>
        <v>1.3760219094768154</v>
      </c>
      <c r="H1203" s="174">
        <f t="shared" si="103"/>
        <v>0.55426782271233388</v>
      </c>
      <c r="I1203" s="137">
        <f>I1196+I1197+I1198+I1199+I1200</f>
        <v>1</v>
      </c>
    </row>
    <row r="1204" spans="1:9" s="17" customFormat="1" ht="16.5" customHeight="1" x14ac:dyDescent="0.2">
      <c r="A1204" s="525"/>
      <c r="B1204" s="525"/>
      <c r="C1204" s="525"/>
      <c r="D1204" s="525"/>
      <c r="E1204" s="231"/>
      <c r="F1204" s="525"/>
      <c r="G1204" s="537"/>
      <c r="H1204" s="537"/>
      <c r="I1204" s="15"/>
    </row>
    <row r="1205" spans="1:9" s="17" customFormat="1" ht="16.5" customHeight="1" x14ac:dyDescent="0.2">
      <c r="A1205" s="752" t="s">
        <v>713</v>
      </c>
      <c r="B1205" s="752"/>
      <c r="C1205" s="752"/>
      <c r="D1205" s="752"/>
      <c r="E1205" s="752"/>
      <c r="F1205" s="752"/>
      <c r="G1205" s="752"/>
      <c r="H1205" s="752"/>
      <c r="I1205" s="752"/>
    </row>
    <row r="1206" spans="1:9" s="17" customFormat="1" ht="16.5" customHeight="1" x14ac:dyDescent="0.2">
      <c r="A1206" s="539"/>
      <c r="B1206" s="539" t="s">
        <v>714</v>
      </c>
      <c r="C1206" s="539"/>
      <c r="D1206" s="539"/>
      <c r="E1206" s="539"/>
      <c r="F1206" s="539"/>
      <c r="G1206" s="539"/>
      <c r="H1206" s="539"/>
      <c r="I1206" s="224"/>
    </row>
    <row r="1207" spans="1:9" s="17" customFormat="1" ht="16.5" customHeight="1" x14ac:dyDescent="0.2">
      <c r="A1207" s="539"/>
      <c r="B1207" s="539" t="s">
        <v>715</v>
      </c>
      <c r="C1207" s="539"/>
      <c r="D1207" s="539"/>
      <c r="E1207" s="539"/>
      <c r="F1207" s="539"/>
      <c r="G1207" s="539"/>
      <c r="H1207" s="539"/>
      <c r="I1207" s="539"/>
    </row>
    <row r="1208" spans="1:9" s="17" customFormat="1" ht="16.5" customHeight="1" x14ac:dyDescent="0.2">
      <c r="A1208" s="724" t="s">
        <v>348</v>
      </c>
      <c r="B1208" s="724"/>
      <c r="C1208" s="724"/>
      <c r="D1208" s="724"/>
      <c r="E1208" s="724"/>
      <c r="F1208" s="724"/>
      <c r="G1208" s="724"/>
      <c r="H1208" s="724"/>
      <c r="I1208" s="724"/>
    </row>
    <row r="1209" spans="1:9" s="17" customFormat="1" ht="16.5" customHeight="1" x14ac:dyDescent="0.2">
      <c r="A1209" s="724" t="s">
        <v>709</v>
      </c>
      <c r="B1209" s="724"/>
      <c r="C1209" s="724"/>
      <c r="D1209" s="724"/>
      <c r="E1209" s="724"/>
      <c r="F1209" s="724"/>
      <c r="G1209" s="724"/>
      <c r="H1209" s="724"/>
      <c r="I1209" s="724"/>
    </row>
    <row r="1210" spans="1:9" s="17" customFormat="1" ht="16.5" customHeight="1" x14ac:dyDescent="0.2">
      <c r="A1210" s="518"/>
      <c r="B1210" s="518"/>
      <c r="C1210" s="518"/>
      <c r="D1210" s="518"/>
      <c r="E1210" s="518"/>
      <c r="F1210" s="518"/>
      <c r="G1210" s="518"/>
      <c r="H1210" s="518"/>
      <c r="I1210" s="518"/>
    </row>
    <row r="1211" spans="1:9" s="17" customFormat="1" ht="16.5" customHeight="1" x14ac:dyDescent="0.2">
      <c r="A1211" s="663"/>
      <c r="B1211" s="663"/>
      <c r="C1211" s="663"/>
      <c r="D1211" s="663"/>
      <c r="E1211" s="663"/>
      <c r="F1211" s="663"/>
      <c r="G1211" s="663"/>
      <c r="H1211" s="663"/>
      <c r="I1211" s="663"/>
    </row>
    <row r="1212" spans="1:9" s="17" customFormat="1" ht="16.5" customHeight="1" x14ac:dyDescent="0.2">
      <c r="A1212" s="663"/>
      <c r="B1212" s="663"/>
      <c r="C1212" s="663"/>
      <c r="D1212" s="663"/>
      <c r="E1212" s="663"/>
      <c r="F1212" s="663"/>
      <c r="G1212" s="663"/>
      <c r="H1212" s="663"/>
      <c r="I1212" s="663"/>
    </row>
    <row r="1213" spans="1:9" s="17" customFormat="1" ht="16.5" customHeight="1" x14ac:dyDescent="0.2">
      <c r="A1213" s="663"/>
      <c r="B1213" s="663"/>
      <c r="C1213" s="663"/>
      <c r="D1213" s="663"/>
      <c r="E1213" s="663"/>
      <c r="F1213" s="663"/>
      <c r="G1213" s="663"/>
      <c r="H1213" s="663"/>
      <c r="I1213" s="663"/>
    </row>
    <row r="1214" spans="1:9" s="17" customFormat="1" ht="16.5" customHeight="1" x14ac:dyDescent="0.2">
      <c r="A1214" s="663"/>
      <c r="B1214" s="663"/>
      <c r="C1214" s="663"/>
      <c r="D1214" s="663"/>
      <c r="E1214" s="663"/>
      <c r="F1214" s="663"/>
      <c r="G1214" s="663"/>
      <c r="H1214" s="663"/>
      <c r="I1214" s="663"/>
    </row>
    <row r="1215" spans="1:9" s="17" customFormat="1" ht="16.5" customHeight="1" x14ac:dyDescent="0.2">
      <c r="A1215" s="663"/>
      <c r="B1215" s="663"/>
      <c r="C1215" s="663"/>
      <c r="D1215" s="663"/>
      <c r="E1215" s="663"/>
      <c r="F1215" s="663"/>
      <c r="G1215" s="663"/>
      <c r="H1215" s="663"/>
      <c r="I1215" s="663"/>
    </row>
    <row r="1216" spans="1:9" s="17" customFormat="1" ht="16.5" customHeight="1" x14ac:dyDescent="0.2">
      <c r="A1216" s="663"/>
      <c r="B1216" s="663"/>
      <c r="C1216" s="663"/>
      <c r="D1216" s="663"/>
      <c r="E1216" s="663"/>
      <c r="F1216" s="663"/>
      <c r="G1216" s="663"/>
      <c r="H1216" s="663"/>
      <c r="I1216" s="663"/>
    </row>
    <row r="1217" spans="1:9" s="17" customFormat="1" ht="16.5" customHeight="1" x14ac:dyDescent="0.2">
      <c r="A1217" s="663"/>
      <c r="B1217" s="663"/>
      <c r="C1217" s="663"/>
      <c r="D1217" s="663"/>
      <c r="E1217" s="663"/>
      <c r="F1217" s="663"/>
      <c r="G1217" s="663"/>
      <c r="H1217" s="663"/>
      <c r="I1217" s="663"/>
    </row>
    <row r="1218" spans="1:9" s="17" customFormat="1" ht="16.5" customHeight="1" x14ac:dyDescent="0.2">
      <c r="A1218" s="663"/>
      <c r="B1218" s="663"/>
      <c r="C1218" s="663"/>
      <c r="D1218" s="663"/>
      <c r="E1218" s="663"/>
      <c r="F1218" s="663"/>
      <c r="G1218" s="663"/>
      <c r="H1218" s="663"/>
      <c r="I1218" s="663"/>
    </row>
    <row r="1219" spans="1:9" s="17" customFormat="1" ht="16.5" customHeight="1" x14ac:dyDescent="0.2">
      <c r="A1219" s="663"/>
      <c r="B1219" s="663"/>
      <c r="C1219" s="663"/>
      <c r="D1219" s="663"/>
      <c r="E1219" s="663"/>
      <c r="F1219" s="663"/>
      <c r="G1219" s="663"/>
      <c r="H1219" s="663"/>
      <c r="I1219" s="663"/>
    </row>
    <row r="1220" spans="1:9" s="17" customFormat="1" ht="16.5" customHeight="1" x14ac:dyDescent="0.2">
      <c r="A1220" s="663"/>
      <c r="B1220" s="663"/>
      <c r="C1220" s="663"/>
      <c r="D1220" s="663"/>
      <c r="E1220" s="663"/>
      <c r="F1220" s="663"/>
      <c r="G1220" s="663"/>
      <c r="H1220" s="663"/>
      <c r="I1220" s="663"/>
    </row>
    <row r="1221" spans="1:9" s="17" customFormat="1" ht="16.5" customHeight="1" x14ac:dyDescent="0.2">
      <c r="A1221" s="663"/>
      <c r="B1221" s="663"/>
      <c r="C1221" s="663"/>
      <c r="D1221" s="663"/>
      <c r="E1221" s="663"/>
      <c r="F1221" s="663"/>
      <c r="G1221" s="663"/>
      <c r="H1221" s="663"/>
      <c r="I1221" s="663"/>
    </row>
    <row r="1222" spans="1:9" s="17" customFormat="1" ht="16.5" customHeight="1" x14ac:dyDescent="0.2">
      <c r="A1222" s="663"/>
      <c r="B1222" s="663"/>
      <c r="C1222" s="663"/>
      <c r="D1222" s="663"/>
      <c r="E1222" s="663"/>
      <c r="F1222" s="663"/>
      <c r="G1222" s="663"/>
      <c r="H1222" s="663"/>
      <c r="I1222" s="663"/>
    </row>
    <row r="1223" spans="1:9" s="17" customFormat="1" ht="16.5" customHeight="1" x14ac:dyDescent="0.2">
      <c r="A1223" s="663"/>
      <c r="B1223" s="663"/>
      <c r="C1223" s="663"/>
      <c r="D1223" s="663"/>
      <c r="E1223" s="663"/>
      <c r="F1223" s="663"/>
      <c r="G1223" s="663"/>
      <c r="H1223" s="663"/>
      <c r="I1223" s="663"/>
    </row>
    <row r="1224" spans="1:9" s="17" customFormat="1" ht="16.5" customHeight="1" x14ac:dyDescent="0.2">
      <c r="A1224" s="663"/>
      <c r="B1224" s="663"/>
      <c r="C1224" s="663"/>
      <c r="D1224" s="663"/>
      <c r="E1224" s="663"/>
      <c r="F1224" s="663"/>
      <c r="G1224" s="663"/>
      <c r="H1224" s="663"/>
      <c r="I1224" s="663"/>
    </row>
    <row r="1225" spans="1:9" s="17" customFormat="1" ht="16.5" customHeight="1" x14ac:dyDescent="0.2">
      <c r="A1225" s="663"/>
      <c r="B1225" s="663"/>
      <c r="C1225" s="663"/>
      <c r="D1225" s="663"/>
      <c r="E1225" s="663"/>
      <c r="F1225" s="663"/>
      <c r="G1225" s="663"/>
      <c r="H1225" s="663"/>
      <c r="I1225" s="663"/>
    </row>
    <row r="1226" spans="1:9" s="17" customFormat="1" ht="16.5" customHeight="1" x14ac:dyDescent="0.2">
      <c r="A1226" s="663"/>
      <c r="B1226" s="663"/>
      <c r="C1226" s="663"/>
      <c r="D1226" s="663"/>
      <c r="E1226" s="663"/>
      <c r="F1226" s="663"/>
      <c r="G1226" s="663"/>
      <c r="H1226" s="663"/>
      <c r="I1226" s="663"/>
    </row>
    <row r="1227" spans="1:9" s="17" customFormat="1" ht="16.5" customHeight="1" x14ac:dyDescent="0.2">
      <c r="A1227" s="663"/>
      <c r="B1227" s="663"/>
      <c r="C1227" s="663"/>
      <c r="D1227" s="663"/>
      <c r="E1227" s="663"/>
      <c r="F1227" s="663"/>
      <c r="G1227" s="663"/>
      <c r="H1227" s="663"/>
      <c r="I1227" s="663"/>
    </row>
    <row r="1228" spans="1:9" s="17" customFormat="1" ht="16.5" customHeight="1" x14ac:dyDescent="0.2">
      <c r="A1228" s="663"/>
      <c r="B1228" s="663"/>
      <c r="C1228" s="663"/>
      <c r="D1228" s="663"/>
      <c r="E1228" s="663"/>
      <c r="F1228" s="663"/>
      <c r="G1228" s="663"/>
      <c r="H1228" s="663"/>
      <c r="I1228" s="663"/>
    </row>
    <row r="1229" spans="1:9" s="17" customFormat="1" ht="16.5" customHeight="1" x14ac:dyDescent="0.2">
      <c r="A1229" s="663"/>
      <c r="B1229" s="663"/>
      <c r="C1229" s="663"/>
      <c r="D1229" s="663"/>
      <c r="E1229" s="663"/>
      <c r="F1229" s="663"/>
      <c r="G1229" s="663"/>
      <c r="H1229" s="663"/>
      <c r="I1229" s="663"/>
    </row>
    <row r="1230" spans="1:9" s="17" customFormat="1" ht="16.5" customHeight="1" x14ac:dyDescent="0.2">
      <c r="A1230" s="663"/>
      <c r="B1230" s="663"/>
      <c r="C1230" s="663"/>
      <c r="D1230" s="663"/>
      <c r="E1230" s="663"/>
      <c r="F1230" s="663"/>
      <c r="G1230" s="663"/>
      <c r="H1230" s="663"/>
      <c r="I1230" s="663"/>
    </row>
    <row r="1231" spans="1:9" s="17" customFormat="1" ht="16.5" customHeight="1" x14ac:dyDescent="0.2">
      <c r="A1231" s="663"/>
      <c r="B1231" s="663"/>
      <c r="C1231" s="663"/>
      <c r="D1231" s="663"/>
      <c r="E1231" s="663"/>
      <c r="F1231" s="663"/>
      <c r="G1231" s="663"/>
      <c r="H1231" s="663"/>
      <c r="I1231" s="663"/>
    </row>
    <row r="1232" spans="1:9" s="17" customFormat="1" ht="16.5" customHeight="1" x14ac:dyDescent="0.2">
      <c r="A1232" s="663"/>
      <c r="B1232" s="663"/>
      <c r="C1232" s="663"/>
      <c r="D1232" s="663"/>
      <c r="E1232" s="663"/>
      <c r="F1232" s="663"/>
      <c r="G1232" s="663"/>
      <c r="H1232" s="663"/>
      <c r="I1232" s="663"/>
    </row>
    <row r="1233" spans="1:9" s="17" customFormat="1" ht="16.5" customHeight="1" x14ac:dyDescent="0.2">
      <c r="A1233" s="663"/>
      <c r="B1233" s="663"/>
      <c r="C1233" s="663"/>
      <c r="D1233" s="663"/>
      <c r="E1233" s="663"/>
      <c r="F1233" s="663"/>
      <c r="G1233" s="663"/>
      <c r="H1233" s="663"/>
      <c r="I1233" s="663"/>
    </row>
    <row r="1234" spans="1:9" s="17" customFormat="1" ht="16.5" customHeight="1" x14ac:dyDescent="0.2">
      <c r="A1234" s="663"/>
      <c r="B1234" s="663"/>
      <c r="C1234" s="663"/>
      <c r="D1234" s="663"/>
      <c r="E1234" s="663"/>
      <c r="F1234" s="663"/>
      <c r="G1234" s="663"/>
      <c r="H1234" s="663"/>
      <c r="I1234" s="663"/>
    </row>
    <row r="1235" spans="1:9" s="17" customFormat="1" ht="16.5" customHeight="1" x14ac:dyDescent="0.2">
      <c r="A1235" s="663"/>
      <c r="B1235" s="663"/>
      <c r="C1235" s="663"/>
      <c r="D1235" s="663"/>
      <c r="E1235" s="663"/>
      <c r="F1235" s="663"/>
      <c r="G1235" s="663"/>
      <c r="H1235" s="663"/>
      <c r="I1235" s="663"/>
    </row>
    <row r="1236" spans="1:9" s="17" customFormat="1" ht="16.5" customHeight="1" x14ac:dyDescent="0.2">
      <c r="A1236" s="518"/>
      <c r="B1236" s="518"/>
      <c r="C1236" s="518"/>
      <c r="D1236" s="518"/>
      <c r="E1236" s="518"/>
      <c r="F1236" s="518"/>
      <c r="G1236" s="518"/>
      <c r="H1236" s="518"/>
      <c r="I1236" s="225"/>
    </row>
    <row r="1237" spans="1:9" s="17" customFormat="1" ht="16.5" customHeight="1" x14ac:dyDescent="0.2">
      <c r="A1237" s="663"/>
      <c r="B1237" s="663"/>
      <c r="C1237" s="663"/>
      <c r="D1237" s="663"/>
      <c r="E1237" s="663"/>
      <c r="F1237" s="663"/>
      <c r="G1237" s="663"/>
      <c r="H1237" s="663"/>
      <c r="I1237" s="225"/>
    </row>
    <row r="1238" spans="1:9" s="17" customFormat="1" ht="16.5" customHeight="1" x14ac:dyDescent="0.2">
      <c r="A1238" s="663"/>
      <c r="B1238" s="663"/>
      <c r="C1238" s="663"/>
      <c r="D1238" s="663"/>
      <c r="E1238" s="663"/>
      <c r="F1238" s="663"/>
      <c r="G1238" s="663"/>
      <c r="H1238" s="663"/>
      <c r="I1238" s="225"/>
    </row>
    <row r="1239" spans="1:9" s="17" customFormat="1" ht="16.5" customHeight="1" x14ac:dyDescent="0.2">
      <c r="A1239" s="663"/>
      <c r="B1239" s="663"/>
      <c r="C1239" s="663"/>
      <c r="D1239" s="663"/>
      <c r="E1239" s="663"/>
      <c r="F1239" s="663"/>
      <c r="G1239" s="663"/>
      <c r="H1239" s="663"/>
      <c r="I1239" s="225"/>
    </row>
    <row r="1240" spans="1:9" s="17" customFormat="1" ht="16.5" customHeight="1" x14ac:dyDescent="0.2">
      <c r="A1240" s="518"/>
      <c r="B1240" s="518" t="s">
        <v>0</v>
      </c>
      <c r="C1240" s="518"/>
      <c r="D1240" s="518"/>
      <c r="E1240" s="518"/>
      <c r="F1240" s="518"/>
      <c r="G1240" s="518"/>
      <c r="H1240" s="518"/>
      <c r="I1240" s="518"/>
    </row>
    <row r="1241" spans="1:9" s="17" customFormat="1" ht="16.5" customHeight="1" x14ac:dyDescent="0.2">
      <c r="A1241" s="518"/>
      <c r="B1241" s="518"/>
      <c r="C1241" s="518"/>
      <c r="D1241" s="518"/>
      <c r="E1241" s="518"/>
      <c r="F1241" s="518"/>
      <c r="G1241" s="518"/>
      <c r="H1241" s="518"/>
      <c r="I1241" s="518"/>
    </row>
    <row r="1242" spans="1:9" s="17" customFormat="1" ht="16.5" customHeight="1" x14ac:dyDescent="0.2">
      <c r="A1242" s="518"/>
      <c r="B1242" s="518"/>
      <c r="C1242" s="518"/>
      <c r="D1242" s="518"/>
      <c r="E1242" s="518"/>
      <c r="F1242" s="518"/>
      <c r="G1242" s="518"/>
      <c r="H1242" s="518"/>
      <c r="I1242" s="225">
        <v>20</v>
      </c>
    </row>
    <row r="1243" spans="1:9" s="17" customFormat="1" ht="16.5" customHeight="1" x14ac:dyDescent="0.2">
      <c r="A1243" s="518"/>
      <c r="B1243" s="518" t="s">
        <v>708</v>
      </c>
      <c r="C1243" s="518"/>
      <c r="D1243" s="518"/>
      <c r="E1243" s="518"/>
      <c r="F1243" s="518"/>
      <c r="G1243" s="518"/>
      <c r="H1243" s="518"/>
      <c r="I1243" s="224"/>
    </row>
    <row r="1244" spans="1:9" s="17" customFormat="1" ht="16.5" customHeight="1" x14ac:dyDescent="0.2">
      <c r="A1244" s="523"/>
      <c r="B1244" s="523"/>
      <c r="C1244" s="523"/>
      <c r="D1244" s="523"/>
      <c r="E1244" s="701" t="s">
        <v>85</v>
      </c>
      <c r="F1244" s="523"/>
      <c r="G1244" s="523"/>
      <c r="H1244" s="523"/>
      <c r="I1244" s="523"/>
    </row>
    <row r="1245" spans="1:9" s="17" customFormat="1" ht="16.5" customHeight="1" x14ac:dyDescent="0.2">
      <c r="A1245" s="192"/>
      <c r="B1245" s="214"/>
      <c r="C1245" s="15"/>
      <c r="D1245" s="537"/>
      <c r="E1245" s="701"/>
      <c r="F1245" s="537"/>
      <c r="G1245" s="192"/>
      <c r="H1245" s="537"/>
      <c r="I1245" s="537"/>
    </row>
    <row r="1246" spans="1:9" s="17" customFormat="1" ht="16.5" customHeight="1" x14ac:dyDescent="0.2">
      <c r="A1246" s="572" t="s">
        <v>48</v>
      </c>
      <c r="B1246" s="702" t="s">
        <v>49</v>
      </c>
      <c r="C1246" s="703"/>
      <c r="D1246" s="380" t="s">
        <v>86</v>
      </c>
      <c r="E1246" s="530" t="s">
        <v>152</v>
      </c>
      <c r="F1246" s="40" t="s">
        <v>87</v>
      </c>
      <c r="G1246" s="706" t="s">
        <v>52</v>
      </c>
      <c r="H1246" s="707"/>
      <c r="I1246" s="708" t="s">
        <v>53</v>
      </c>
    </row>
    <row r="1247" spans="1:9" s="17" customFormat="1" ht="16.5" customHeight="1" x14ac:dyDescent="0.2">
      <c r="A1247" s="23" t="s">
        <v>54</v>
      </c>
      <c r="B1247" s="704"/>
      <c r="C1247" s="705"/>
      <c r="D1247" s="381" t="s">
        <v>541</v>
      </c>
      <c r="E1247" s="41" t="s">
        <v>573</v>
      </c>
      <c r="F1247" s="41" t="s">
        <v>607</v>
      </c>
      <c r="G1247" s="24" t="s">
        <v>55</v>
      </c>
      <c r="H1247" s="24" t="s">
        <v>56</v>
      </c>
      <c r="I1247" s="709"/>
    </row>
    <row r="1248" spans="1:9" s="17" customFormat="1" ht="16.5" customHeight="1" x14ac:dyDescent="0.2">
      <c r="A1248" s="150">
        <v>1</v>
      </c>
      <c r="B1248" s="807">
        <v>2</v>
      </c>
      <c r="C1248" s="808"/>
      <c r="D1248" s="153">
        <v>3</v>
      </c>
      <c r="E1248" s="153">
        <v>4</v>
      </c>
      <c r="F1248" s="153">
        <v>5</v>
      </c>
      <c r="G1248" s="153">
        <v>6</v>
      </c>
      <c r="H1248" s="153">
        <v>7</v>
      </c>
      <c r="I1248" s="154">
        <v>8</v>
      </c>
    </row>
    <row r="1249" spans="1:9" s="17" customFormat="1" ht="16.5" customHeight="1" x14ac:dyDescent="0.2">
      <c r="A1249" s="552">
        <v>16019</v>
      </c>
      <c r="B1249" s="790" t="s">
        <v>57</v>
      </c>
      <c r="C1249" s="791"/>
      <c r="D1249" s="168">
        <v>0</v>
      </c>
      <c r="E1249" s="168">
        <f>0+0+0</f>
        <v>0</v>
      </c>
      <c r="F1249" s="168">
        <v>0</v>
      </c>
      <c r="G1249" s="148" t="e">
        <f t="shared" ref="G1249:G1281" si="105">F1249/D1249</f>
        <v>#DIV/0!</v>
      </c>
      <c r="H1249" s="148" t="e">
        <f t="shared" ref="H1249:H1281" si="106">F1249/E1249</f>
        <v>#DIV/0!</v>
      </c>
      <c r="I1249" s="137">
        <f>F1249/F1281</f>
        <v>0</v>
      </c>
    </row>
    <row r="1250" spans="1:9" s="17" customFormat="1" ht="16.5" customHeight="1" x14ac:dyDescent="0.2">
      <c r="A1250" s="552">
        <v>163</v>
      </c>
      <c r="B1250" s="790" t="s">
        <v>17</v>
      </c>
      <c r="C1250" s="791"/>
      <c r="D1250" s="158">
        <f>D1251+D1252+D1253</f>
        <v>125463.3</v>
      </c>
      <c r="E1250" s="158">
        <f>E1251+E1252+E1253</f>
        <v>325000</v>
      </c>
      <c r="F1250" s="158">
        <f>F1251+F1252+F1253</f>
        <v>193980.93</v>
      </c>
      <c r="G1250" s="148">
        <f t="shared" si="105"/>
        <v>1.546116912276339</v>
      </c>
      <c r="H1250" s="148">
        <f t="shared" si="106"/>
        <v>0.59686439999999996</v>
      </c>
      <c r="I1250" s="48">
        <f>F1250/F1281</f>
        <v>2.4079780212021933E-2</v>
      </c>
    </row>
    <row r="1251" spans="1:9" s="17" customFormat="1" ht="16.5" customHeight="1" x14ac:dyDescent="0.2">
      <c r="A1251" s="217">
        <v>16319</v>
      </c>
      <c r="B1251" s="801" t="s">
        <v>166</v>
      </c>
      <c r="C1251" s="802"/>
      <c r="D1251" s="145">
        <v>125463.3</v>
      </c>
      <c r="E1251" s="145">
        <v>325000</v>
      </c>
      <c r="F1251" s="145">
        <v>193980.93</v>
      </c>
      <c r="G1251" s="143">
        <f t="shared" si="105"/>
        <v>1.546116912276339</v>
      </c>
      <c r="H1251" s="143">
        <f t="shared" si="106"/>
        <v>0.59686439999999996</v>
      </c>
      <c r="I1251" s="76">
        <f>F1251/F1250</f>
        <v>1</v>
      </c>
    </row>
    <row r="1252" spans="1:9" s="17" customFormat="1" ht="16.5" customHeight="1" x14ac:dyDescent="0.2">
      <c r="A1252" s="217">
        <v>16519</v>
      </c>
      <c r="B1252" s="801" t="s">
        <v>167</v>
      </c>
      <c r="C1252" s="802"/>
      <c r="D1252" s="145">
        <f>0+0+0+0+0</f>
        <v>0</v>
      </c>
      <c r="E1252" s="145">
        <f>0+0+0</f>
        <v>0</v>
      </c>
      <c r="F1252" s="145">
        <f>0+0+0+0+0</f>
        <v>0</v>
      </c>
      <c r="G1252" s="143" t="e">
        <f t="shared" si="105"/>
        <v>#DIV/0!</v>
      </c>
      <c r="H1252" s="143" t="e">
        <f t="shared" si="106"/>
        <v>#DIV/0!</v>
      </c>
      <c r="I1252" s="76">
        <f>F1252/F1250</f>
        <v>0</v>
      </c>
    </row>
    <row r="1253" spans="1:9" s="17" customFormat="1" ht="16.5" customHeight="1" x14ac:dyDescent="0.2">
      <c r="A1253" s="217">
        <v>16559</v>
      </c>
      <c r="B1253" s="801" t="s">
        <v>168</v>
      </c>
      <c r="C1253" s="802"/>
      <c r="D1253" s="145">
        <f>0+0+0+0+0</f>
        <v>0</v>
      </c>
      <c r="E1253" s="145">
        <f>0+0+0</f>
        <v>0</v>
      </c>
      <c r="F1253" s="145">
        <f>0+0+0+0+0</f>
        <v>0</v>
      </c>
      <c r="G1253" s="143" t="e">
        <f t="shared" si="105"/>
        <v>#DIV/0!</v>
      </c>
      <c r="H1253" s="143" t="e">
        <f t="shared" si="106"/>
        <v>#DIV/0!</v>
      </c>
      <c r="I1253" s="76">
        <f>F1253/F1250</f>
        <v>0</v>
      </c>
    </row>
    <row r="1254" spans="1:9" s="17" customFormat="1" ht="16.5" customHeight="1" x14ac:dyDescent="0.2">
      <c r="A1254" s="552">
        <v>16637</v>
      </c>
      <c r="B1254" s="790" t="s">
        <v>64</v>
      </c>
      <c r="C1254" s="791"/>
      <c r="D1254" s="168">
        <f>0+0+0+0+0</f>
        <v>0</v>
      </c>
      <c r="E1254" s="168">
        <f>0+0+0</f>
        <v>0</v>
      </c>
      <c r="F1254" s="168">
        <f>0+0+0+0+0</f>
        <v>0</v>
      </c>
      <c r="G1254" s="148" t="e">
        <f t="shared" si="105"/>
        <v>#DIV/0!</v>
      </c>
      <c r="H1254" s="148" t="e">
        <f t="shared" si="106"/>
        <v>#DIV/0!</v>
      </c>
      <c r="I1254" s="48">
        <f>F1254/F1281</f>
        <v>0</v>
      </c>
    </row>
    <row r="1255" spans="1:9" s="17" customFormat="1" ht="16.5" customHeight="1" x14ac:dyDescent="0.2">
      <c r="A1255" s="552">
        <v>16795</v>
      </c>
      <c r="B1255" s="790" t="s">
        <v>65</v>
      </c>
      <c r="C1255" s="791"/>
      <c r="D1255" s="168">
        <f t="shared" ref="D1255:F1256" si="107">0+0+0+0+0</f>
        <v>0</v>
      </c>
      <c r="E1255" s="168">
        <f>0+0+0</f>
        <v>0</v>
      </c>
      <c r="F1255" s="168">
        <f t="shared" si="107"/>
        <v>0</v>
      </c>
      <c r="G1255" s="148" t="e">
        <f t="shared" si="105"/>
        <v>#DIV/0!</v>
      </c>
      <c r="H1255" s="148" t="e">
        <f t="shared" si="106"/>
        <v>#DIV/0!</v>
      </c>
      <c r="I1255" s="48">
        <f>F1255/F1281</f>
        <v>0</v>
      </c>
    </row>
    <row r="1256" spans="1:9" s="17" customFormat="1" ht="16.5" customHeight="1" x14ac:dyDescent="0.2">
      <c r="A1256" s="552">
        <v>16919</v>
      </c>
      <c r="B1256" s="790" t="s">
        <v>66</v>
      </c>
      <c r="C1256" s="791"/>
      <c r="D1256" s="168">
        <f t="shared" si="107"/>
        <v>0</v>
      </c>
      <c r="E1256" s="168">
        <f>0+0+0</f>
        <v>0</v>
      </c>
      <c r="F1256" s="168">
        <f t="shared" si="107"/>
        <v>0</v>
      </c>
      <c r="G1256" s="148" t="e">
        <f t="shared" si="105"/>
        <v>#DIV/0!</v>
      </c>
      <c r="H1256" s="148" t="e">
        <f t="shared" si="106"/>
        <v>#DIV/0!</v>
      </c>
      <c r="I1256" s="48">
        <f>F1256/F1281</f>
        <v>0</v>
      </c>
    </row>
    <row r="1257" spans="1:9" s="17" customFormat="1" ht="16.5" customHeight="1" x14ac:dyDescent="0.2">
      <c r="A1257" s="552">
        <v>17519</v>
      </c>
      <c r="B1257" s="790" t="s">
        <v>25</v>
      </c>
      <c r="C1257" s="791"/>
      <c r="D1257" s="168">
        <v>334968.65999999997</v>
      </c>
      <c r="E1257" s="386">
        <v>1161193.29</v>
      </c>
      <c r="F1257" s="168">
        <v>360000</v>
      </c>
      <c r="G1257" s="148">
        <f t="shared" si="105"/>
        <v>1.0747274088268437</v>
      </c>
      <c r="H1257" s="148">
        <f t="shared" si="106"/>
        <v>0.31002590447280315</v>
      </c>
      <c r="I1257" s="48">
        <f>F1257/F1281</f>
        <v>4.4688521064044265E-2</v>
      </c>
    </row>
    <row r="1258" spans="1:9" s="17" customFormat="1" ht="16.5" customHeight="1" x14ac:dyDescent="0.2">
      <c r="A1258" s="552">
        <v>180</v>
      </c>
      <c r="B1258" s="790" t="s">
        <v>273</v>
      </c>
      <c r="C1258" s="791"/>
      <c r="D1258" s="158">
        <f>D1259+D1260</f>
        <v>3588256.44</v>
      </c>
      <c r="E1258" s="158">
        <f>E1259+E1260</f>
        <v>7886993.0300000003</v>
      </c>
      <c r="F1258" s="158">
        <f>F1259+F1260</f>
        <v>4431976.74</v>
      </c>
      <c r="G1258" s="148">
        <f t="shared" si="105"/>
        <v>1.235133779903423</v>
      </c>
      <c r="H1258" s="148">
        <f t="shared" si="106"/>
        <v>0.56193491272807683</v>
      </c>
      <c r="I1258" s="48">
        <f>F1258/F1281</f>
        <v>0.55016246083567844</v>
      </c>
    </row>
    <row r="1259" spans="1:9" s="17" customFormat="1" ht="16.5" customHeight="1" x14ac:dyDescent="0.2">
      <c r="A1259" s="217">
        <v>18019</v>
      </c>
      <c r="B1259" s="801" t="s">
        <v>170</v>
      </c>
      <c r="C1259" s="802"/>
      <c r="D1259" s="145">
        <v>3588256.44</v>
      </c>
      <c r="E1259" s="145">
        <v>7786993.0300000003</v>
      </c>
      <c r="F1259" s="145">
        <v>4403921.74</v>
      </c>
      <c r="G1259" s="143">
        <f t="shared" si="105"/>
        <v>1.2273152194217201</v>
      </c>
      <c r="H1259" s="143">
        <f t="shared" si="106"/>
        <v>0.56554843737929994</v>
      </c>
      <c r="I1259" s="76">
        <f>F1259/F1258</f>
        <v>0.99366986750025232</v>
      </c>
    </row>
    <row r="1260" spans="1:9" s="17" customFormat="1" ht="16.5" customHeight="1" x14ac:dyDescent="0.2">
      <c r="A1260" s="217">
        <v>18295</v>
      </c>
      <c r="B1260" s="801" t="s">
        <v>171</v>
      </c>
      <c r="C1260" s="802"/>
      <c r="D1260" s="145">
        <f>0</f>
        <v>0</v>
      </c>
      <c r="E1260" s="145">
        <v>100000</v>
      </c>
      <c r="F1260" s="145">
        <v>28055</v>
      </c>
      <c r="G1260" s="143" t="e">
        <f t="shared" si="105"/>
        <v>#DIV/0!</v>
      </c>
      <c r="H1260" s="143">
        <f t="shared" si="106"/>
        <v>0.28055000000000002</v>
      </c>
      <c r="I1260" s="76">
        <f>F1260/F1258</f>
        <v>6.3301324997477306E-3</v>
      </c>
    </row>
    <row r="1261" spans="1:9" s="17" customFormat="1" ht="16.5" customHeight="1" x14ac:dyDescent="0.2">
      <c r="A1261" s="552">
        <v>19595</v>
      </c>
      <c r="B1261" s="790" t="s">
        <v>172</v>
      </c>
      <c r="C1261" s="791"/>
      <c r="D1261" s="168">
        <v>100000</v>
      </c>
      <c r="E1261" s="386">
        <v>410000</v>
      </c>
      <c r="F1261" s="168">
        <v>295397.93</v>
      </c>
      <c r="G1261" s="148">
        <f t="shared" si="105"/>
        <v>2.9539792999999999</v>
      </c>
      <c r="H1261" s="148">
        <f t="shared" si="106"/>
        <v>0.72048275609756096</v>
      </c>
      <c r="I1261" s="48">
        <f>F1261/F1281</f>
        <v>3.6669157269666873E-2</v>
      </c>
    </row>
    <row r="1262" spans="1:9" s="17" customFormat="1" ht="16.5" customHeight="1" x14ac:dyDescent="0.2">
      <c r="A1262" s="552">
        <v>47019</v>
      </c>
      <c r="B1262" s="790" t="s">
        <v>71</v>
      </c>
      <c r="C1262" s="791"/>
      <c r="D1262" s="168">
        <v>687133</v>
      </c>
      <c r="E1262" s="386">
        <v>542500.26</v>
      </c>
      <c r="F1262" s="168">
        <v>296758.59999999998</v>
      </c>
      <c r="G1262" s="148">
        <f t="shared" si="105"/>
        <v>0.43187941781285427</v>
      </c>
      <c r="H1262" s="148">
        <f t="shared" si="106"/>
        <v>0.54702019866313056</v>
      </c>
      <c r="I1262" s="48">
        <f>F1262/F1281</f>
        <v>3.6838063741767464E-2</v>
      </c>
    </row>
    <row r="1263" spans="1:9" s="17" customFormat="1" ht="16.5" customHeight="1" x14ac:dyDescent="0.2">
      <c r="A1263" s="552">
        <v>48019</v>
      </c>
      <c r="B1263" s="790" t="s">
        <v>72</v>
      </c>
      <c r="C1263" s="791"/>
      <c r="D1263" s="168">
        <v>83464</v>
      </c>
      <c r="E1263" s="168">
        <v>205990</v>
      </c>
      <c r="F1263" s="168">
        <v>83200</v>
      </c>
      <c r="G1263" s="148">
        <f t="shared" si="105"/>
        <v>0.99683695964727304</v>
      </c>
      <c r="H1263" s="148">
        <f t="shared" si="106"/>
        <v>0.4039031020923346</v>
      </c>
      <c r="I1263" s="48">
        <f>F1263/F1281</f>
        <v>1.0328013757023564E-2</v>
      </c>
    </row>
    <row r="1264" spans="1:9" s="17" customFormat="1" ht="16.5" customHeight="1" x14ac:dyDescent="0.2">
      <c r="A1264" s="552">
        <v>650</v>
      </c>
      <c r="B1264" s="790" t="s">
        <v>31</v>
      </c>
      <c r="C1264" s="791"/>
      <c r="D1264" s="158">
        <f>D1265+D1266</f>
        <v>0</v>
      </c>
      <c r="E1264" s="158">
        <f>E1265+E1266</f>
        <v>0</v>
      </c>
      <c r="F1264" s="158">
        <f>F1265+F1266</f>
        <v>0</v>
      </c>
      <c r="G1264" s="148" t="e">
        <f t="shared" si="105"/>
        <v>#DIV/0!</v>
      </c>
      <c r="H1264" s="148" t="e">
        <f t="shared" si="106"/>
        <v>#DIV/0!</v>
      </c>
      <c r="I1264" s="48">
        <f>F1264/F1281</f>
        <v>0</v>
      </c>
    </row>
    <row r="1265" spans="1:9" s="17" customFormat="1" ht="16.5" customHeight="1" x14ac:dyDescent="0.2">
      <c r="A1265" s="217">
        <v>65095</v>
      </c>
      <c r="B1265" s="801" t="s">
        <v>173</v>
      </c>
      <c r="C1265" s="802"/>
      <c r="D1265" s="145">
        <v>0</v>
      </c>
      <c r="E1265" s="145">
        <v>0</v>
      </c>
      <c r="F1265" s="145">
        <v>0</v>
      </c>
      <c r="G1265" s="143" t="e">
        <f t="shared" si="105"/>
        <v>#DIV/0!</v>
      </c>
      <c r="H1265" s="143" t="e">
        <f t="shared" si="106"/>
        <v>#DIV/0!</v>
      </c>
      <c r="I1265" s="76" t="e">
        <f>F1265/F1264</f>
        <v>#DIV/0!</v>
      </c>
    </row>
    <row r="1266" spans="1:9" s="17" customFormat="1" ht="16.5" customHeight="1" x14ac:dyDescent="0.2">
      <c r="A1266" s="217">
        <v>65495</v>
      </c>
      <c r="B1266" s="801" t="s">
        <v>174</v>
      </c>
      <c r="C1266" s="802"/>
      <c r="D1266" s="145">
        <v>0</v>
      </c>
      <c r="E1266" s="5">
        <v>0</v>
      </c>
      <c r="F1266" s="145">
        <v>0</v>
      </c>
      <c r="G1266" s="143" t="e">
        <f t="shared" si="105"/>
        <v>#DIV/0!</v>
      </c>
      <c r="H1266" s="143" t="e">
        <f t="shared" si="106"/>
        <v>#DIV/0!</v>
      </c>
      <c r="I1266" s="76" t="e">
        <f>F1266/F1264</f>
        <v>#DIV/0!</v>
      </c>
    </row>
    <row r="1267" spans="1:9" s="17" customFormat="1" ht="16.5" customHeight="1" x14ac:dyDescent="0.2">
      <c r="A1267" s="552">
        <v>66100</v>
      </c>
      <c r="B1267" s="790" t="s">
        <v>74</v>
      </c>
      <c r="C1267" s="791"/>
      <c r="D1267" s="168">
        <v>144642.84</v>
      </c>
      <c r="E1267" s="383">
        <v>180000</v>
      </c>
      <c r="F1267" s="168">
        <v>150000</v>
      </c>
      <c r="G1267" s="148">
        <f t="shared" si="105"/>
        <v>1.0370371599451449</v>
      </c>
      <c r="H1267" s="148">
        <f t="shared" si="106"/>
        <v>0.83333333333333337</v>
      </c>
      <c r="I1267" s="48">
        <f>F1267/F1281</f>
        <v>1.8620217110018444E-2</v>
      </c>
    </row>
    <row r="1268" spans="1:9" s="17" customFormat="1" ht="16.5" customHeight="1" x14ac:dyDescent="0.2">
      <c r="A1268" s="552"/>
      <c r="B1268" s="790" t="s">
        <v>75</v>
      </c>
      <c r="C1268" s="791"/>
      <c r="D1268" s="386">
        <f>D1269+D1270</f>
        <v>155384.4</v>
      </c>
      <c r="E1268" s="386">
        <f>E1269+E1270</f>
        <v>531880.76</v>
      </c>
      <c r="F1268" s="386">
        <f>F1269+F1270</f>
        <v>167812.25</v>
      </c>
      <c r="G1268" s="148">
        <f t="shared" si="105"/>
        <v>1.0799813237364884</v>
      </c>
      <c r="H1268" s="148">
        <f t="shared" si="106"/>
        <v>0.3155072764805405</v>
      </c>
      <c r="I1268" s="126">
        <f>F1268/F1281</f>
        <v>2.0831336858137952E-2</v>
      </c>
    </row>
    <row r="1269" spans="1:9" s="17" customFormat="1" ht="16.5" customHeight="1" x14ac:dyDescent="0.2">
      <c r="A1269" s="217">
        <v>73028</v>
      </c>
      <c r="B1269" s="801" t="s">
        <v>175</v>
      </c>
      <c r="C1269" s="802"/>
      <c r="D1269" s="145">
        <f>0+0+0+0+0</f>
        <v>0</v>
      </c>
      <c r="E1269" s="5">
        <v>0</v>
      </c>
      <c r="F1269" s="145">
        <f>0+0+0+0+0</f>
        <v>0</v>
      </c>
      <c r="G1269" s="143" t="e">
        <f t="shared" si="105"/>
        <v>#DIV/0!</v>
      </c>
      <c r="H1269" s="143" t="e">
        <f t="shared" si="106"/>
        <v>#DIV/0!</v>
      </c>
      <c r="I1269" s="76">
        <f>F1269/F1268</f>
        <v>0</v>
      </c>
    </row>
    <row r="1270" spans="1:9" s="17" customFormat="1" ht="16.5" customHeight="1" x14ac:dyDescent="0.2">
      <c r="A1270" s="217">
        <v>74100</v>
      </c>
      <c r="B1270" s="801" t="s">
        <v>176</v>
      </c>
      <c r="C1270" s="802"/>
      <c r="D1270" s="145">
        <v>155384.4</v>
      </c>
      <c r="E1270" s="5">
        <v>531880.76</v>
      </c>
      <c r="F1270" s="145">
        <v>167812.25</v>
      </c>
      <c r="G1270" s="143">
        <f t="shared" si="105"/>
        <v>1.0799813237364884</v>
      </c>
      <c r="H1270" s="143">
        <f t="shared" si="106"/>
        <v>0.3155072764805405</v>
      </c>
      <c r="I1270" s="76">
        <f>F1270/F1268</f>
        <v>1</v>
      </c>
    </row>
    <row r="1271" spans="1:9" s="17" customFormat="1" ht="16.5" customHeight="1" x14ac:dyDescent="0.2">
      <c r="A1271" s="385">
        <v>75591</v>
      </c>
      <c r="B1271" s="790" t="s">
        <v>177</v>
      </c>
      <c r="C1271" s="791"/>
      <c r="D1271" s="158">
        <v>38896.400000000001</v>
      </c>
      <c r="E1271" s="158">
        <v>12000</v>
      </c>
      <c r="F1271" s="158">
        <v>0</v>
      </c>
      <c r="G1271" s="148">
        <f t="shared" si="105"/>
        <v>0</v>
      </c>
      <c r="H1271" s="148">
        <f t="shared" si="106"/>
        <v>0</v>
      </c>
      <c r="I1271" s="48">
        <f>F1271/F1281</f>
        <v>0</v>
      </c>
    </row>
    <row r="1272" spans="1:9" s="17" customFormat="1" ht="16.5" customHeight="1" x14ac:dyDescent="0.2">
      <c r="A1272" s="385">
        <v>75592</v>
      </c>
      <c r="B1272" s="547" t="s">
        <v>537</v>
      </c>
      <c r="C1272" s="548"/>
      <c r="D1272" s="158">
        <v>60000.68</v>
      </c>
      <c r="E1272" s="158">
        <v>614274.77</v>
      </c>
      <c r="F1272" s="158">
        <v>399699.84</v>
      </c>
      <c r="G1272" s="148">
        <f>F1272/D1272</f>
        <v>6.6615885019969774</v>
      </c>
      <c r="H1272" s="148">
        <f>F1272/E1272</f>
        <v>0.65068575093846037</v>
      </c>
      <c r="I1272" s="48">
        <f>F1272/F1281</f>
        <v>4.9616651997597565E-2</v>
      </c>
    </row>
    <row r="1273" spans="1:9" s="17" customFormat="1" ht="16.5" customHeight="1" x14ac:dyDescent="0.2">
      <c r="A1273" s="552">
        <v>85019</v>
      </c>
      <c r="B1273" s="790" t="s">
        <v>40</v>
      </c>
      <c r="C1273" s="791"/>
      <c r="D1273" s="158">
        <f>D1274+D1275</f>
        <v>151961</v>
      </c>
      <c r="E1273" s="158">
        <f>E1274+E1275</f>
        <v>1293764.47</v>
      </c>
      <c r="F1273" s="158">
        <f t="shared" ref="F1273" si="108">F1274+F1275</f>
        <v>827006.88</v>
      </c>
      <c r="G1273" s="148">
        <f t="shared" si="105"/>
        <v>5.4422310987687634</v>
      </c>
      <c r="H1273" s="148">
        <f t="shared" si="106"/>
        <v>0.63922522157375372</v>
      </c>
      <c r="I1273" s="48">
        <f>F1273/F1281</f>
        <v>0.10266031771385981</v>
      </c>
    </row>
    <row r="1274" spans="1:9" s="17" customFormat="1" ht="16.5" customHeight="1" x14ac:dyDescent="0.2">
      <c r="A1274" s="184">
        <v>85019</v>
      </c>
      <c r="B1274" s="358" t="s">
        <v>519</v>
      </c>
      <c r="C1274" s="564"/>
      <c r="D1274" s="5">
        <v>151961</v>
      </c>
      <c r="E1274" s="5">
        <v>1293764.47</v>
      </c>
      <c r="F1274" s="5">
        <v>827006.88</v>
      </c>
      <c r="G1274" s="143">
        <f t="shared" si="105"/>
        <v>5.4422310987687634</v>
      </c>
      <c r="H1274" s="143">
        <f t="shared" si="106"/>
        <v>0.63922522157375372</v>
      </c>
      <c r="I1274" s="76">
        <f>F1274/F1273</f>
        <v>1</v>
      </c>
    </row>
    <row r="1275" spans="1:9" s="17" customFormat="1" ht="16.5" customHeight="1" x14ac:dyDescent="0.2">
      <c r="A1275" s="184">
        <v>85184</v>
      </c>
      <c r="B1275" s="801" t="s">
        <v>380</v>
      </c>
      <c r="C1275" s="802"/>
      <c r="D1275" s="5">
        <v>0</v>
      </c>
      <c r="E1275" s="5">
        <v>0</v>
      </c>
      <c r="F1275" s="5">
        <v>0</v>
      </c>
      <c r="G1275" s="143" t="e">
        <f t="shared" si="105"/>
        <v>#DIV/0!</v>
      </c>
      <c r="H1275" s="143" t="e">
        <f t="shared" si="106"/>
        <v>#DIV/0!</v>
      </c>
      <c r="I1275" s="76">
        <f>F1275/F1273</f>
        <v>0</v>
      </c>
    </row>
    <row r="1276" spans="1:9" s="17" customFormat="1" ht="16.5" customHeight="1" x14ac:dyDescent="0.2">
      <c r="A1276" s="552"/>
      <c r="B1276" s="790" t="s">
        <v>79</v>
      </c>
      <c r="C1276" s="791"/>
      <c r="D1276" s="158">
        <f>D1277+D1278+D1279+D1280</f>
        <v>384212.80000000005</v>
      </c>
      <c r="E1276" s="158">
        <f>E1277+E1278+E1279+E1280</f>
        <v>1370460.17</v>
      </c>
      <c r="F1276" s="158">
        <f>F1277+F1278+F1279+F1280</f>
        <v>849926.82</v>
      </c>
      <c r="G1276" s="148">
        <f t="shared" si="105"/>
        <v>2.2121252076974005</v>
      </c>
      <c r="H1276" s="148">
        <f t="shared" si="106"/>
        <v>0.62017622883560342</v>
      </c>
      <c r="I1276" s="48">
        <f>F1276/F1281</f>
        <v>0.10550547944018378</v>
      </c>
    </row>
    <row r="1277" spans="1:9" s="17" customFormat="1" ht="16.5" customHeight="1" x14ac:dyDescent="0.2">
      <c r="A1277" s="217">
        <v>92095</v>
      </c>
      <c r="B1277" s="801" t="s">
        <v>178</v>
      </c>
      <c r="C1277" s="802"/>
      <c r="D1277" s="5">
        <v>234084.7</v>
      </c>
      <c r="E1277" s="5">
        <v>72143.77</v>
      </c>
      <c r="F1277" s="5">
        <v>67236.100000000006</v>
      </c>
      <c r="G1277" s="143">
        <f t="shared" si="105"/>
        <v>0.28722979331840143</v>
      </c>
      <c r="H1277" s="143">
        <f t="shared" si="106"/>
        <v>0.93197375185688247</v>
      </c>
      <c r="I1277" s="76">
        <f>F1277/F1276</f>
        <v>7.9108104860133741E-2</v>
      </c>
    </row>
    <row r="1278" spans="1:9" s="17" customFormat="1" ht="16.5" customHeight="1" x14ac:dyDescent="0.2">
      <c r="A1278" s="217">
        <v>92570</v>
      </c>
      <c r="B1278" s="801" t="s">
        <v>179</v>
      </c>
      <c r="C1278" s="802"/>
      <c r="D1278" s="5">
        <f>0+0+0+0+0+0</f>
        <v>0</v>
      </c>
      <c r="E1278" s="5">
        <f>0+0+0</f>
        <v>0</v>
      </c>
      <c r="F1278" s="5">
        <f>0+0+0+0+0+0</f>
        <v>0</v>
      </c>
      <c r="G1278" s="143" t="e">
        <f t="shared" si="105"/>
        <v>#DIV/0!</v>
      </c>
      <c r="H1278" s="143" t="e">
        <f t="shared" si="106"/>
        <v>#DIV/0!</v>
      </c>
      <c r="I1278" s="76">
        <f>F1278/F1276</f>
        <v>0</v>
      </c>
    </row>
    <row r="1279" spans="1:9" s="17" customFormat="1" ht="16.5" customHeight="1" x14ac:dyDescent="0.2">
      <c r="A1279" s="217">
        <v>93540</v>
      </c>
      <c r="B1279" s="801" t="s">
        <v>180</v>
      </c>
      <c r="C1279" s="802"/>
      <c r="D1279" s="5">
        <v>150128.1</v>
      </c>
      <c r="E1279" s="5">
        <v>761636.4</v>
      </c>
      <c r="F1279" s="5">
        <v>383046.23</v>
      </c>
      <c r="G1279" s="143">
        <f t="shared" si="105"/>
        <v>2.5514625842863525</v>
      </c>
      <c r="H1279" s="143">
        <f t="shared" si="106"/>
        <v>0.50292531974574739</v>
      </c>
      <c r="I1279" s="76">
        <f>F1279/F1276</f>
        <v>0.45068142454899823</v>
      </c>
    </row>
    <row r="1280" spans="1:9" s="17" customFormat="1" ht="16.5" customHeight="1" x14ac:dyDescent="0.2">
      <c r="A1280" s="217">
        <v>94740</v>
      </c>
      <c r="B1280" s="801" t="s">
        <v>181</v>
      </c>
      <c r="C1280" s="802"/>
      <c r="D1280" s="5">
        <f>0+0+0+0+0+0</f>
        <v>0</v>
      </c>
      <c r="E1280" s="196">
        <v>536680</v>
      </c>
      <c r="F1280" s="5">
        <v>399644.49</v>
      </c>
      <c r="G1280" s="143" t="e">
        <f t="shared" si="105"/>
        <v>#DIV/0!</v>
      </c>
      <c r="H1280" s="143">
        <f t="shared" si="106"/>
        <v>0.74466067302675709</v>
      </c>
      <c r="I1280" s="76">
        <f>F1280/F1276</f>
        <v>0.47021047059086807</v>
      </c>
    </row>
    <row r="1281" spans="1:9" s="17" customFormat="1" ht="16.5" customHeight="1" x14ac:dyDescent="0.2">
      <c r="A1281" s="552"/>
      <c r="B1281" s="560" t="s">
        <v>84</v>
      </c>
      <c r="C1281" s="561"/>
      <c r="D1281" s="461">
        <f>D1249+D1250+D1254+D1255+D1256+D1257+D1258+D1261+D1262+D1263+D1264+D1267+D1268+D1271+D1272+D1273+D1276</f>
        <v>5854383.5200000005</v>
      </c>
      <c r="E1281" s="461">
        <f>E1249+E1250+E1254+E1255+E1256+E1257+E1258+E1261+E1262+E1263+E1264+E1267+E1268+E1271+E1272+E1273+E1276</f>
        <v>14534056.75</v>
      </c>
      <c r="F1281" s="461">
        <f>F1249+F1250+F1254+F1255+F1256+F1257+F1258+F1261+F1262+F1263+F1264+F1267+F1268+F1271+F1272+F1273+F1276</f>
        <v>8055759.9899999993</v>
      </c>
      <c r="G1281" s="148">
        <f t="shared" si="105"/>
        <v>1.3760219094768151</v>
      </c>
      <c r="H1281" s="148">
        <f t="shared" si="106"/>
        <v>0.55426782271233388</v>
      </c>
      <c r="I1281" s="48">
        <f>I1249+I1250+I1254+I1255+I1256+I1257+I1258+I1261+I1262+I1263+I1264+I1267+I1268+I1271+I1272+I1273+I1276</f>
        <v>1</v>
      </c>
    </row>
    <row r="1282" spans="1:9" s="17" customFormat="1" ht="16.5" customHeight="1" x14ac:dyDescent="0.2">
      <c r="A1282" s="587"/>
      <c r="B1282" s="188"/>
      <c r="C1282" s="232"/>
      <c r="D1282" s="232"/>
      <c r="E1282" s="190"/>
      <c r="F1282" s="233"/>
      <c r="G1282" s="233"/>
      <c r="H1282" s="15"/>
      <c r="I1282" s="15"/>
    </row>
    <row r="1283" spans="1:9" s="17" customFormat="1" ht="16.5" customHeight="1" x14ac:dyDescent="0.2">
      <c r="A1283" s="752" t="s">
        <v>716</v>
      </c>
      <c r="B1283" s="752"/>
      <c r="C1283" s="752"/>
      <c r="D1283" s="752"/>
      <c r="E1283" s="752"/>
      <c r="F1283" s="752"/>
      <c r="G1283" s="752"/>
      <c r="H1283" s="752"/>
      <c r="I1283" s="752"/>
    </row>
    <row r="1284" spans="1:9" s="17" customFormat="1" ht="16.5" customHeight="1" x14ac:dyDescent="0.2">
      <c r="A1284" s="724" t="s">
        <v>453</v>
      </c>
      <c r="B1284" s="724"/>
      <c r="C1284" s="724"/>
      <c r="D1284" s="724"/>
      <c r="E1284" s="724"/>
      <c r="F1284" s="724"/>
      <c r="G1284" s="724"/>
      <c r="H1284" s="724"/>
      <c r="I1284" s="724"/>
    </row>
    <row r="1285" spans="1:9" s="17" customFormat="1" ht="16.5" customHeight="1" x14ac:dyDescent="0.2">
      <c r="A1285" s="518"/>
      <c r="B1285" s="724" t="s">
        <v>283</v>
      </c>
      <c r="C1285" s="724"/>
      <c r="D1285" s="518"/>
      <c r="E1285" s="518"/>
      <c r="F1285" s="518"/>
      <c r="G1285" s="518"/>
      <c r="H1285" s="518"/>
      <c r="I1285" s="528"/>
    </row>
    <row r="1286" spans="1:9" s="17" customFormat="1" ht="16.5" customHeight="1" x14ac:dyDescent="0.2">
      <c r="A1286" s="518"/>
      <c r="B1286" s="714" t="s">
        <v>548</v>
      </c>
      <c r="C1286" s="714"/>
      <c r="D1286" s="234">
        <f>I1262</f>
        <v>3.6838063741767464E-2</v>
      </c>
      <c r="E1286" s="235" t="s">
        <v>285</v>
      </c>
      <c r="F1286" s="236">
        <f>F1262</f>
        <v>296758.59999999998</v>
      </c>
      <c r="G1286" s="518"/>
      <c r="H1286" s="518"/>
      <c r="I1286" s="528"/>
    </row>
    <row r="1287" spans="1:9" s="17" customFormat="1" ht="16.5" customHeight="1" x14ac:dyDescent="0.2">
      <c r="A1287" s="518"/>
      <c r="B1287" s="518" t="s">
        <v>549</v>
      </c>
      <c r="C1287" s="518"/>
      <c r="D1287" s="234">
        <f>I1276</f>
        <v>0.10550547944018378</v>
      </c>
      <c r="E1287" s="235" t="s">
        <v>285</v>
      </c>
      <c r="F1287" s="236">
        <f>F1276</f>
        <v>849926.82</v>
      </c>
      <c r="G1287" s="518"/>
      <c r="H1287" s="518"/>
      <c r="I1287" s="528"/>
    </row>
    <row r="1288" spans="1:9" s="17" customFormat="1" ht="16.5" customHeight="1" x14ac:dyDescent="0.2">
      <c r="A1288" s="518"/>
      <c r="B1288" s="518" t="s">
        <v>284</v>
      </c>
      <c r="C1288" s="518"/>
      <c r="D1288" s="234">
        <f>I1257</f>
        <v>4.4688521064044265E-2</v>
      </c>
      <c r="E1288" s="235" t="s">
        <v>285</v>
      </c>
      <c r="F1288" s="236">
        <f>F1257</f>
        <v>360000</v>
      </c>
      <c r="G1288" s="518" t="s">
        <v>286</v>
      </c>
      <c r="H1288" s="518"/>
      <c r="I1288" s="528"/>
    </row>
    <row r="1289" spans="1:9" s="17" customFormat="1" ht="16.5" customHeight="1" x14ac:dyDescent="0.2">
      <c r="A1289" s="518"/>
      <c r="B1289" s="216" t="s">
        <v>717</v>
      </c>
      <c r="C1289" s="216"/>
      <c r="D1289" s="216"/>
      <c r="E1289" s="216"/>
      <c r="F1289" s="216"/>
      <c r="G1289" s="219"/>
      <c r="H1289" s="523"/>
      <c r="I1289" s="528"/>
    </row>
    <row r="1290" spans="1:9" s="17" customFormat="1" ht="16.5" customHeight="1" x14ac:dyDescent="0.2">
      <c r="A1290" s="518"/>
      <c r="B1290" s="714"/>
      <c r="C1290" s="714"/>
      <c r="D1290" s="234"/>
      <c r="E1290" s="235"/>
      <c r="F1290" s="236"/>
      <c r="G1290" s="518"/>
      <c r="H1290" s="523"/>
      <c r="I1290" s="528"/>
    </row>
    <row r="1291" spans="1:9" s="17" customFormat="1" ht="16.5" customHeight="1" x14ac:dyDescent="0.2">
      <c r="A1291" s="518"/>
      <c r="C1291" s="523"/>
      <c r="D1291" s="523"/>
      <c r="E1291" s="523"/>
      <c r="F1291" s="523"/>
      <c r="G1291" s="523"/>
      <c r="H1291" s="523"/>
      <c r="I1291" s="192"/>
    </row>
    <row r="1292" spans="1:9" s="17" customFormat="1" ht="16.5" customHeight="1" x14ac:dyDescent="0.2">
      <c r="A1292" s="518"/>
      <c r="B1292" s="523"/>
      <c r="C1292" s="523"/>
      <c r="D1292" s="523"/>
      <c r="E1292" s="523"/>
      <c r="F1292" s="523"/>
      <c r="G1292" s="523"/>
      <c r="H1292" s="523"/>
      <c r="I1292" s="523"/>
    </row>
    <row r="1293" spans="1:9" s="17" customFormat="1" ht="16.5" customHeight="1" x14ac:dyDescent="0.2">
      <c r="A1293" s="518"/>
      <c r="B1293" s="724"/>
      <c r="C1293" s="724"/>
      <c r="D1293" s="724"/>
      <c r="E1293" s="724"/>
      <c r="F1293" s="724"/>
      <c r="G1293" s="724"/>
      <c r="H1293" s="724"/>
      <c r="I1293" s="724"/>
    </row>
    <row r="1294" spans="1:9" s="17" customFormat="1" ht="16.5" customHeight="1" x14ac:dyDescent="0.2">
      <c r="A1294" s="724"/>
      <c r="B1294" s="724"/>
      <c r="C1294" s="724"/>
      <c r="D1294" s="724"/>
      <c r="E1294" s="724"/>
      <c r="F1294" s="724"/>
      <c r="G1294" s="724"/>
      <c r="H1294" s="724"/>
      <c r="I1294" s="724"/>
    </row>
    <row r="1295" spans="1:9" s="17" customFormat="1" ht="16.5" customHeight="1" x14ac:dyDescent="0.2">
      <c r="A1295" s="518"/>
      <c r="B1295" s="518"/>
      <c r="C1295" s="518"/>
      <c r="D1295" s="518"/>
      <c r="E1295" s="518"/>
      <c r="F1295" s="518"/>
      <c r="G1295" s="518"/>
      <c r="H1295" s="518"/>
      <c r="I1295" s="225"/>
    </row>
    <row r="1296" spans="1:9" s="17" customFormat="1" ht="16.5" customHeight="1" x14ac:dyDescent="0.2">
      <c r="A1296" s="518"/>
      <c r="B1296" s="518"/>
      <c r="C1296" s="518"/>
      <c r="D1296" s="518"/>
      <c r="E1296" s="518"/>
      <c r="F1296" s="518"/>
      <c r="G1296" s="518"/>
      <c r="H1296" s="518"/>
      <c r="I1296" s="518"/>
    </row>
    <row r="1297" spans="1:13" s="17" customFormat="1" ht="16.5" customHeight="1" x14ac:dyDescent="0.2">
      <c r="A1297" s="518"/>
      <c r="B1297" s="518"/>
      <c r="C1297" s="518"/>
      <c r="D1297" s="518"/>
      <c r="E1297" s="518"/>
      <c r="F1297" s="518"/>
      <c r="G1297" s="518"/>
      <c r="H1297" s="518"/>
      <c r="I1297" s="518"/>
    </row>
    <row r="1298" spans="1:13" s="17" customFormat="1" ht="16.5" customHeight="1" x14ac:dyDescent="0.2">
      <c r="A1298" s="663"/>
      <c r="B1298" s="663"/>
      <c r="C1298" s="663"/>
      <c r="D1298" s="663"/>
      <c r="E1298" s="663"/>
      <c r="F1298" s="663"/>
      <c r="G1298" s="663"/>
      <c r="H1298" s="663"/>
      <c r="I1298" s="663"/>
    </row>
    <row r="1299" spans="1:13" s="17" customFormat="1" ht="16.5" customHeight="1" x14ac:dyDescent="0.2">
      <c r="A1299" s="663"/>
      <c r="B1299" s="663"/>
      <c r="C1299" s="663"/>
      <c r="D1299" s="663"/>
      <c r="E1299" s="663"/>
      <c r="F1299" s="663"/>
      <c r="G1299" s="663"/>
      <c r="H1299" s="663"/>
      <c r="I1299" s="663"/>
    </row>
    <row r="1300" spans="1:13" s="17" customFormat="1" ht="16.5" customHeight="1" x14ac:dyDescent="0.2">
      <c r="A1300" s="663"/>
      <c r="B1300" s="663"/>
      <c r="C1300" s="663"/>
      <c r="D1300" s="663"/>
      <c r="E1300" s="663"/>
      <c r="F1300" s="663"/>
      <c r="G1300" s="663"/>
      <c r="H1300" s="663"/>
      <c r="I1300" s="663"/>
    </row>
    <row r="1301" spans="1:13" s="17" customFormat="1" ht="16.5" customHeight="1" x14ac:dyDescent="0.25">
      <c r="A1301" s="518"/>
      <c r="B1301" s="518"/>
      <c r="C1301" s="518"/>
      <c r="D1301" s="518"/>
      <c r="E1301" s="518"/>
      <c r="F1301" s="518"/>
      <c r="G1301" s="518"/>
      <c r="H1301" s="518"/>
      <c r="I1301" s="225">
        <v>21</v>
      </c>
      <c r="M1301" s="521"/>
    </row>
    <row r="1302" spans="1:13" s="17" customFormat="1" ht="16.5" customHeight="1" x14ac:dyDescent="0.25">
      <c r="A1302" s="663"/>
      <c r="B1302" s="663"/>
      <c r="C1302" s="663"/>
      <c r="D1302" s="663"/>
      <c r="E1302" s="663"/>
      <c r="F1302" s="663"/>
      <c r="G1302" s="663"/>
      <c r="H1302" s="663"/>
      <c r="I1302" s="663"/>
      <c r="M1302" s="667"/>
    </row>
    <row r="1303" spans="1:13" s="17" customFormat="1" ht="16.5" customHeight="1" x14ac:dyDescent="0.25">
      <c r="A1303" s="518"/>
      <c r="B1303" s="518" t="s">
        <v>388</v>
      </c>
      <c r="C1303" s="518"/>
      <c r="D1303" s="518"/>
      <c r="E1303" s="518"/>
      <c r="F1303" s="518"/>
      <c r="G1303" s="518"/>
      <c r="H1303" s="518"/>
      <c r="I1303" s="224"/>
      <c r="M1303" s="521"/>
    </row>
    <row r="1304" spans="1:13" s="17" customFormat="1" ht="16.5" customHeight="1" x14ac:dyDescent="0.25">
      <c r="A1304" s="663" t="s">
        <v>710</v>
      </c>
      <c r="B1304" s="518"/>
      <c r="C1304" s="518"/>
      <c r="D1304" s="518"/>
      <c r="E1304" s="518"/>
      <c r="F1304" s="518"/>
      <c r="G1304" s="518"/>
      <c r="H1304" s="518"/>
      <c r="I1304" s="518"/>
      <c r="M1304" s="521"/>
    </row>
    <row r="1305" spans="1:13" s="17" customFormat="1" ht="12" customHeight="1" x14ac:dyDescent="0.25">
      <c r="A1305" s="523"/>
      <c r="B1305" s="523"/>
      <c r="C1305" s="523"/>
      <c r="D1305" s="523"/>
      <c r="E1305" s="701" t="s">
        <v>85</v>
      </c>
      <c r="F1305" s="523"/>
      <c r="G1305" s="523"/>
      <c r="H1305" s="523"/>
      <c r="I1305" s="192"/>
      <c r="M1305" s="521"/>
    </row>
    <row r="1306" spans="1:13" s="17" customFormat="1" ht="12" customHeight="1" x14ac:dyDescent="0.2">
      <c r="A1306" s="192"/>
      <c r="B1306" s="214"/>
      <c r="C1306" s="15"/>
      <c r="D1306" s="537"/>
      <c r="E1306" s="746"/>
      <c r="F1306" s="537"/>
      <c r="G1306" s="192"/>
      <c r="H1306" s="537"/>
      <c r="I1306" s="537"/>
    </row>
    <row r="1307" spans="1:13" s="17" customFormat="1" ht="16.5" customHeight="1" x14ac:dyDescent="0.2">
      <c r="A1307" s="557" t="s">
        <v>48</v>
      </c>
      <c r="B1307" s="702" t="s">
        <v>49</v>
      </c>
      <c r="C1307" s="703"/>
      <c r="D1307" s="380" t="s">
        <v>86</v>
      </c>
      <c r="E1307" s="530" t="s">
        <v>152</v>
      </c>
      <c r="F1307" s="40" t="s">
        <v>87</v>
      </c>
      <c r="G1307" s="706" t="s">
        <v>52</v>
      </c>
      <c r="H1307" s="707"/>
      <c r="I1307" s="708" t="s">
        <v>53</v>
      </c>
    </row>
    <row r="1308" spans="1:13" s="17" customFormat="1" ht="16.5" customHeight="1" x14ac:dyDescent="0.2">
      <c r="A1308" s="574" t="s">
        <v>88</v>
      </c>
      <c r="B1308" s="704"/>
      <c r="C1308" s="705"/>
      <c r="D1308" s="381" t="s">
        <v>541</v>
      </c>
      <c r="E1308" s="41" t="s">
        <v>573</v>
      </c>
      <c r="F1308" s="41" t="s">
        <v>607</v>
      </c>
      <c r="G1308" s="24" t="s">
        <v>55</v>
      </c>
      <c r="H1308" s="24" t="s">
        <v>56</v>
      </c>
      <c r="I1308" s="709"/>
    </row>
    <row r="1309" spans="1:13" s="17" customFormat="1" ht="16.5" customHeight="1" x14ac:dyDescent="0.2">
      <c r="A1309" s="101">
        <v>1</v>
      </c>
      <c r="B1309" s="805">
        <v>2</v>
      </c>
      <c r="C1309" s="806"/>
      <c r="D1309" s="237">
        <v>3</v>
      </c>
      <c r="E1309" s="237">
        <v>4</v>
      </c>
      <c r="F1309" s="237">
        <v>5</v>
      </c>
      <c r="G1309" s="237">
        <v>6</v>
      </c>
      <c r="H1309" s="237">
        <v>7</v>
      </c>
      <c r="I1309" s="101">
        <v>8</v>
      </c>
    </row>
    <row r="1310" spans="1:13" s="17" customFormat="1" ht="17.25" customHeight="1" x14ac:dyDescent="0.2">
      <c r="A1310" s="229">
        <v>3110</v>
      </c>
      <c r="B1310" s="790" t="s">
        <v>287</v>
      </c>
      <c r="C1310" s="791"/>
      <c r="D1310" s="158">
        <f>D1311+D1312+D1313+D1314+D1315+D1316+D1317+D1318+D1319+D1320+D1321+D1322</f>
        <v>832143.71</v>
      </c>
      <c r="E1310" s="158">
        <f>E1311+E1312+E1313+E1314+E1315+E1316+E1317+E1318+E1319+E1320+E1321+E1322</f>
        <v>3507500</v>
      </c>
      <c r="F1310" s="158">
        <f>F1311+F1312+F1313+F1314+F1315+F1316+F1317+F1318+F1319+F1320+F1321+F1322</f>
        <v>2016112.7100000002</v>
      </c>
      <c r="G1310" s="148">
        <f t="shared" ref="G1310:G1324" si="109">F1310/D1310</f>
        <v>2.4227939065957735</v>
      </c>
      <c r="H1310" s="137">
        <f t="shared" ref="H1310:H1324" si="110">F1310/E1310</f>
        <v>0.57480048752672852</v>
      </c>
      <c r="I1310" s="137">
        <f>F1310/F1371</f>
        <v>0.25026970918978436</v>
      </c>
    </row>
    <row r="1311" spans="1:13" s="17" customFormat="1" ht="16.5" customHeight="1" x14ac:dyDescent="0.2">
      <c r="A1311" s="81">
        <v>31110</v>
      </c>
      <c r="B1311" s="799" t="s">
        <v>288</v>
      </c>
      <c r="C1311" s="800"/>
      <c r="D1311" s="5">
        <v>237794.96</v>
      </c>
      <c r="E1311" s="452">
        <f>150000+200000+50000+230000</f>
        <v>630000</v>
      </c>
      <c r="F1311" s="5">
        <v>60000</v>
      </c>
      <c r="G1311" s="86">
        <f t="shared" si="109"/>
        <v>0.25231821565940676</v>
      </c>
      <c r="H1311" s="87">
        <f t="shared" si="110"/>
        <v>9.5238095238095233E-2</v>
      </c>
      <c r="I1311" s="87">
        <f>F1311/F1310</f>
        <v>2.976024093414896E-2</v>
      </c>
    </row>
    <row r="1312" spans="1:13" s="17" customFormat="1" ht="16.5" customHeight="1" x14ac:dyDescent="0.2">
      <c r="A1312" s="81">
        <v>31120</v>
      </c>
      <c r="B1312" s="799" t="s">
        <v>289</v>
      </c>
      <c r="C1312" s="800"/>
      <c r="D1312" s="5">
        <v>8994.5</v>
      </c>
      <c r="E1312" s="452">
        <f>50000+75000+80000</f>
        <v>205000</v>
      </c>
      <c r="F1312" s="5">
        <v>146933</v>
      </c>
      <c r="G1312" s="86">
        <f t="shared" si="109"/>
        <v>16.335871921729947</v>
      </c>
      <c r="H1312" s="87">
        <f t="shared" si="110"/>
        <v>0.71674634146341465</v>
      </c>
      <c r="I1312" s="87">
        <f>F1312/F1310</f>
        <v>7.2879358019621823E-2</v>
      </c>
    </row>
    <row r="1313" spans="1:9" s="17" customFormat="1" ht="16.5" customHeight="1" x14ac:dyDescent="0.2">
      <c r="A1313" s="81">
        <v>31121</v>
      </c>
      <c r="B1313" s="799" t="s">
        <v>290</v>
      </c>
      <c r="C1313" s="800"/>
      <c r="D1313" s="5">
        <v>163011.20000000001</v>
      </c>
      <c r="E1313" s="452">
        <f>300000+61626+338374</f>
        <v>700000</v>
      </c>
      <c r="F1313" s="5">
        <v>398141</v>
      </c>
      <c r="G1313" s="86">
        <f t="shared" si="109"/>
        <v>2.4424149997055413</v>
      </c>
      <c r="H1313" s="87">
        <f t="shared" si="110"/>
        <v>0.56877285714285719</v>
      </c>
      <c r="I1313" s="87">
        <f>F1313/F1310</f>
        <v>0.19747953476271671</v>
      </c>
    </row>
    <row r="1314" spans="1:9" s="17" customFormat="1" ht="16.5" customHeight="1" x14ac:dyDescent="0.2">
      <c r="A1314" s="81">
        <v>31122</v>
      </c>
      <c r="B1314" s="799" t="s">
        <v>291</v>
      </c>
      <c r="C1314" s="800"/>
      <c r="D1314" s="5">
        <v>38896.400000000001</v>
      </c>
      <c r="E1314" s="452">
        <f>150000+60000</f>
        <v>210000</v>
      </c>
      <c r="F1314" s="5">
        <v>108037.25</v>
      </c>
      <c r="G1314" s="86">
        <f t="shared" si="109"/>
        <v>2.7775642475910365</v>
      </c>
      <c r="H1314" s="87">
        <f t="shared" si="110"/>
        <v>0.51446309523809519</v>
      </c>
      <c r="I1314" s="87">
        <f>F1314/F1310</f>
        <v>5.358690983104808E-2</v>
      </c>
    </row>
    <row r="1315" spans="1:9" s="17" customFormat="1" ht="16.5" customHeight="1" x14ac:dyDescent="0.2">
      <c r="A1315" s="81">
        <v>31123</v>
      </c>
      <c r="B1315" s="799" t="s">
        <v>292</v>
      </c>
      <c r="C1315" s="800"/>
      <c r="D1315" s="5">
        <v>69679</v>
      </c>
      <c r="E1315" s="452">
        <v>0</v>
      </c>
      <c r="F1315" s="5">
        <v>81582</v>
      </c>
      <c r="G1315" s="86">
        <f t="shared" si="109"/>
        <v>1.1708262173682171</v>
      </c>
      <c r="H1315" s="87" t="e">
        <f t="shared" si="110"/>
        <v>#DIV/0!</v>
      </c>
      <c r="I1315" s="87">
        <f>F1315/F1310</f>
        <v>4.0464999598162341E-2</v>
      </c>
    </row>
    <row r="1316" spans="1:9" s="17" customFormat="1" ht="16.5" customHeight="1" x14ac:dyDescent="0.2">
      <c r="A1316" s="81">
        <v>31124</v>
      </c>
      <c r="B1316" s="799" t="s">
        <v>293</v>
      </c>
      <c r="C1316" s="800"/>
      <c r="D1316" s="5">
        <v>135097.20000000001</v>
      </c>
      <c r="E1316" s="452">
        <f>233401+66599+30000+50000+175000+25000+175000+25000</f>
        <v>780000</v>
      </c>
      <c r="F1316" s="5">
        <v>754383.66</v>
      </c>
      <c r="G1316" s="86">
        <f t="shared" si="109"/>
        <v>5.5840066263401456</v>
      </c>
      <c r="H1316" s="87">
        <f t="shared" si="110"/>
        <v>0.96715853846153854</v>
      </c>
      <c r="I1316" s="87">
        <f>F1316/F1310</f>
        <v>0.3741773246397519</v>
      </c>
    </row>
    <row r="1317" spans="1:9" s="17" customFormat="1" ht="16.5" customHeight="1" x14ac:dyDescent="0.2">
      <c r="A1317" s="81">
        <v>31125</v>
      </c>
      <c r="B1317" s="799" t="s">
        <v>496</v>
      </c>
      <c r="C1317" s="800"/>
      <c r="D1317" s="5">
        <v>85800</v>
      </c>
      <c r="E1317" s="452">
        <f>40000</f>
        <v>40000</v>
      </c>
      <c r="F1317" s="5">
        <v>139000</v>
      </c>
      <c r="G1317" s="86">
        <f t="shared" si="109"/>
        <v>1.6200466200466201</v>
      </c>
      <c r="H1317" s="87">
        <f t="shared" si="110"/>
        <v>3.4750000000000001</v>
      </c>
      <c r="I1317" s="87">
        <f>F1317/F1311</f>
        <v>2.3166666666666669</v>
      </c>
    </row>
    <row r="1318" spans="1:9" s="17" customFormat="1" ht="16.5" customHeight="1" x14ac:dyDescent="0.2">
      <c r="A1318" s="81">
        <v>31126</v>
      </c>
      <c r="B1318" s="799" t="s">
        <v>294</v>
      </c>
      <c r="C1318" s="800"/>
      <c r="D1318" s="5">
        <v>92870.45</v>
      </c>
      <c r="E1318" s="452">
        <f>130000</f>
        <v>130000</v>
      </c>
      <c r="F1318" s="5">
        <v>129999</v>
      </c>
      <c r="G1318" s="86">
        <f t="shared" si="109"/>
        <v>1.3997886302909053</v>
      </c>
      <c r="H1318" s="87">
        <f t="shared" si="110"/>
        <v>0.99999230769230774</v>
      </c>
      <c r="I1318" s="87">
        <f>F1318/F1312</f>
        <v>0.88475019226450147</v>
      </c>
    </row>
    <row r="1319" spans="1:9" s="17" customFormat="1" ht="16.5" customHeight="1" x14ac:dyDescent="0.2">
      <c r="A1319" s="81">
        <v>31127</v>
      </c>
      <c r="B1319" s="568" t="s">
        <v>538</v>
      </c>
      <c r="C1319" s="569"/>
      <c r="D1319" s="5">
        <v>0</v>
      </c>
      <c r="E1319" s="452">
        <f>672500</f>
        <v>672500</v>
      </c>
      <c r="F1319" s="5">
        <v>6227.8</v>
      </c>
      <c r="G1319" s="86" t="e">
        <f t="shared" si="109"/>
        <v>#DIV/0!</v>
      </c>
      <c r="H1319" s="87">
        <f>F1319/E1319</f>
        <v>9.2606691449814132E-3</v>
      </c>
      <c r="I1319" s="87">
        <f>F1319/F1310</f>
        <v>3.0890138081615484E-3</v>
      </c>
    </row>
    <row r="1320" spans="1:9" s="17" customFormat="1" ht="16.5" customHeight="1" x14ac:dyDescent="0.2">
      <c r="A1320" s="81">
        <v>31129</v>
      </c>
      <c r="B1320" s="632" t="s">
        <v>596</v>
      </c>
      <c r="C1320" s="633"/>
      <c r="D1320" s="5">
        <v>0</v>
      </c>
      <c r="E1320" s="452">
        <v>70000</v>
      </c>
      <c r="F1320" s="5">
        <v>0</v>
      </c>
      <c r="G1320" s="86" t="e">
        <f t="shared" si="109"/>
        <v>#DIV/0!</v>
      </c>
      <c r="H1320" s="87">
        <f>F1320/E1320</f>
        <v>0</v>
      </c>
      <c r="I1320" s="87">
        <f>F1320/F1310</f>
        <v>0</v>
      </c>
    </row>
    <row r="1321" spans="1:9" s="17" customFormat="1" ht="16.5" customHeight="1" x14ac:dyDescent="0.2">
      <c r="A1321" s="81">
        <v>31130</v>
      </c>
      <c r="B1321" s="799" t="s">
        <v>295</v>
      </c>
      <c r="C1321" s="800"/>
      <c r="D1321" s="5">
        <f>0+0+0+0+0</f>
        <v>0</v>
      </c>
      <c r="E1321" s="452">
        <v>70000</v>
      </c>
      <c r="F1321" s="5">
        <f>0+0+0+0+0</f>
        <v>0</v>
      </c>
      <c r="G1321" s="86" t="e">
        <f t="shared" si="109"/>
        <v>#DIV/0!</v>
      </c>
      <c r="H1321" s="87">
        <f t="shared" si="110"/>
        <v>0</v>
      </c>
      <c r="I1321" s="87">
        <f>F1321/F1310</f>
        <v>0</v>
      </c>
    </row>
    <row r="1322" spans="1:9" s="17" customFormat="1" ht="16.5" customHeight="1" x14ac:dyDescent="0.2">
      <c r="A1322" s="81">
        <v>31136</v>
      </c>
      <c r="B1322" s="671" t="s">
        <v>718</v>
      </c>
      <c r="C1322" s="672"/>
      <c r="D1322" s="5">
        <v>0</v>
      </c>
      <c r="E1322" s="452">
        <v>0</v>
      </c>
      <c r="F1322" s="5">
        <v>191809</v>
      </c>
      <c r="G1322" s="86" t="e">
        <f t="shared" si="109"/>
        <v>#DIV/0!</v>
      </c>
      <c r="H1322" s="87" t="e">
        <f t="shared" si="110"/>
        <v>#DIV/0!</v>
      </c>
      <c r="I1322" s="87">
        <f>F1322/F1310</f>
        <v>9.5138034222302964E-2</v>
      </c>
    </row>
    <row r="1323" spans="1:9" s="17" customFormat="1" ht="17.25" customHeight="1" x14ac:dyDescent="0.2">
      <c r="A1323" s="146">
        <v>3120</v>
      </c>
      <c r="B1323" s="790" t="s">
        <v>296</v>
      </c>
      <c r="C1323" s="791"/>
      <c r="D1323" s="158">
        <f>D1324+D1326+D1327+D1328+D1329+D1330</f>
        <v>2961867.48</v>
      </c>
      <c r="E1323" s="383">
        <f t="shared" ref="E1323" si="111">E1324+E1326+E1327+E1328+E1329+E1330</f>
        <v>6981271</v>
      </c>
      <c r="F1323" s="383">
        <f>F1324+F1325+F1326+F1327+F1328+F1329+F1330</f>
        <v>3447073.02</v>
      </c>
      <c r="G1323" s="148">
        <f t="shared" si="109"/>
        <v>1.1638174372338901</v>
      </c>
      <c r="H1323" s="137">
        <f t="shared" si="110"/>
        <v>0.4937600932552253</v>
      </c>
      <c r="I1323" s="137">
        <f>F1323/F1371</f>
        <v>0.42790165350991294</v>
      </c>
    </row>
    <row r="1324" spans="1:9" s="17" customFormat="1" ht="16.5" customHeight="1" x14ac:dyDescent="0.2">
      <c r="A1324" s="238">
        <v>31210</v>
      </c>
      <c r="B1324" s="799" t="s">
        <v>297</v>
      </c>
      <c r="C1324" s="800"/>
      <c r="D1324" s="5">
        <f>0+0+0+0+0</f>
        <v>0</v>
      </c>
      <c r="E1324" s="5">
        <f>0+0+0</f>
        <v>0</v>
      </c>
      <c r="F1324" s="5">
        <f>0+0+0+0+0</f>
        <v>0</v>
      </c>
      <c r="G1324" s="86" t="e">
        <f t="shared" si="109"/>
        <v>#DIV/0!</v>
      </c>
      <c r="H1324" s="87" t="e">
        <f t="shared" si="110"/>
        <v>#DIV/0!</v>
      </c>
      <c r="I1324" s="91">
        <f>F1324/F1323</f>
        <v>0</v>
      </c>
    </row>
    <row r="1325" spans="1:9" s="17" customFormat="1" ht="16.5" customHeight="1" x14ac:dyDescent="0.2">
      <c r="A1325" s="238">
        <v>31220</v>
      </c>
      <c r="B1325" s="568" t="s">
        <v>477</v>
      </c>
      <c r="C1325" s="569"/>
      <c r="D1325" s="5">
        <v>0</v>
      </c>
      <c r="E1325" s="5">
        <v>0</v>
      </c>
      <c r="F1325" s="5">
        <v>0</v>
      </c>
      <c r="G1325" s="86"/>
      <c r="H1325" s="87"/>
      <c r="I1325" s="91"/>
    </row>
    <row r="1326" spans="1:9" s="17" customFormat="1" ht="16.5" customHeight="1" x14ac:dyDescent="0.2">
      <c r="A1326" s="81">
        <v>31230</v>
      </c>
      <c r="B1326" s="799" t="s">
        <v>298</v>
      </c>
      <c r="C1326" s="800"/>
      <c r="D1326" s="5">
        <v>2197539.2799999998</v>
      </c>
      <c r="E1326" s="452">
        <f>110000+150000+80000+130000+160000+500000+300000+400000+150000+200000+250000+665983+1134017+150000+160000+50000+50000+330000+42000+30000</f>
        <v>5042000</v>
      </c>
      <c r="F1326" s="5">
        <v>2832595.2</v>
      </c>
      <c r="G1326" s="86">
        <f t="shared" ref="G1326:G1342" si="112">F1326/D1326</f>
        <v>1.2889850141836829</v>
      </c>
      <c r="H1326" s="87">
        <f>F1326/E1326</f>
        <v>0.56179992066640227</v>
      </c>
      <c r="I1326" s="87">
        <f>F1326/F1323</f>
        <v>0.82173925053667707</v>
      </c>
    </row>
    <row r="1327" spans="1:9" s="17" customFormat="1" ht="16.5" customHeight="1" x14ac:dyDescent="0.2">
      <c r="A1327" s="81">
        <v>31240</v>
      </c>
      <c r="B1327" s="239" t="s">
        <v>299</v>
      </c>
      <c r="C1327" s="21"/>
      <c r="D1327" s="5">
        <v>116218.2</v>
      </c>
      <c r="E1327" s="452">
        <f>250000+250000+150000+30000</f>
        <v>680000</v>
      </c>
      <c r="F1327" s="5">
        <v>344051</v>
      </c>
      <c r="G1327" s="86">
        <f t="shared" si="112"/>
        <v>2.9603883040694141</v>
      </c>
      <c r="H1327" s="87">
        <f>F1327/E1327</f>
        <v>0.5059573529411765</v>
      </c>
      <c r="I1327" s="87">
        <f>F1327/F1323</f>
        <v>9.9809606005967347E-2</v>
      </c>
    </row>
    <row r="1328" spans="1:9" s="17" customFormat="1" ht="16.5" customHeight="1" x14ac:dyDescent="0.2">
      <c r="A1328" s="81">
        <v>31250</v>
      </c>
      <c r="B1328" s="799" t="s">
        <v>300</v>
      </c>
      <c r="C1328" s="800"/>
      <c r="D1328" s="5">
        <v>30300</v>
      </c>
      <c r="E1328" s="452">
        <f>176374+23626+150000+179271</f>
        <v>529271</v>
      </c>
      <c r="F1328" s="5">
        <v>138250.82</v>
      </c>
      <c r="G1328" s="86">
        <f t="shared" si="112"/>
        <v>4.562733333333334</v>
      </c>
      <c r="H1328" s="87">
        <f>F1328/E1328</f>
        <v>0.26120989058535232</v>
      </c>
      <c r="I1328" s="87">
        <f>F1328/F1323</f>
        <v>4.0106727997308279E-2</v>
      </c>
    </row>
    <row r="1329" spans="1:9" s="17" customFormat="1" ht="16.5" customHeight="1" x14ac:dyDescent="0.2">
      <c r="A1329" s="81">
        <v>31260</v>
      </c>
      <c r="B1329" s="799" t="s">
        <v>301</v>
      </c>
      <c r="C1329" s="800"/>
      <c r="D1329" s="5">
        <v>617810</v>
      </c>
      <c r="E1329" s="452">
        <f>400000+300000+30000</f>
        <v>730000</v>
      </c>
      <c r="F1329" s="5">
        <v>132176</v>
      </c>
      <c r="G1329" s="86">
        <f t="shared" si="112"/>
        <v>0.21394279794758905</v>
      </c>
      <c r="H1329" s="87">
        <f>F1329/E1328</f>
        <v>0.24973217878931586</v>
      </c>
      <c r="I1329" s="87">
        <f>F1329/F1323</f>
        <v>3.8344415460047319E-2</v>
      </c>
    </row>
    <row r="1330" spans="1:9" s="17" customFormat="1" ht="16.5" customHeight="1" x14ac:dyDescent="0.2">
      <c r="A1330" s="81">
        <v>31270</v>
      </c>
      <c r="B1330" s="799" t="s">
        <v>302</v>
      </c>
      <c r="C1330" s="800"/>
      <c r="D1330" s="5">
        <v>0</v>
      </c>
      <c r="E1330" s="452">
        <v>0</v>
      </c>
      <c r="F1330" s="5">
        <v>0</v>
      </c>
      <c r="G1330" s="86" t="e">
        <f t="shared" si="112"/>
        <v>#DIV/0!</v>
      </c>
      <c r="H1330" s="87">
        <f>F1330/E1329</f>
        <v>0</v>
      </c>
      <c r="I1330" s="87">
        <f>F1330/F1323</f>
        <v>0</v>
      </c>
    </row>
    <row r="1331" spans="1:9" s="17" customFormat="1" ht="17.25" customHeight="1" x14ac:dyDescent="0.2">
      <c r="A1331" s="146">
        <v>3150</v>
      </c>
      <c r="B1331" s="790" t="s">
        <v>389</v>
      </c>
      <c r="C1331" s="791"/>
      <c r="D1331" s="158">
        <f>D1332</f>
        <v>0</v>
      </c>
      <c r="E1331" s="158">
        <f>E1332</f>
        <v>12000</v>
      </c>
      <c r="F1331" s="158">
        <f>F1332</f>
        <v>0</v>
      </c>
      <c r="G1331" s="148" t="e">
        <f t="shared" si="112"/>
        <v>#DIV/0!</v>
      </c>
      <c r="H1331" s="137" t="e">
        <f>F1331/E1330</f>
        <v>#DIV/0!</v>
      </c>
      <c r="I1331" s="137">
        <f>F1331/F1371</f>
        <v>0</v>
      </c>
    </row>
    <row r="1332" spans="1:9" s="17" customFormat="1" ht="16.5" customHeight="1" x14ac:dyDescent="0.2">
      <c r="A1332" s="81">
        <v>31510</v>
      </c>
      <c r="B1332" s="801" t="s">
        <v>418</v>
      </c>
      <c r="C1332" s="802"/>
      <c r="D1332" s="145">
        <f>0+0+0+0+0</f>
        <v>0</v>
      </c>
      <c r="E1332" s="5">
        <v>12000</v>
      </c>
      <c r="F1332" s="145">
        <f>0+0+0+0+0</f>
        <v>0</v>
      </c>
      <c r="G1332" s="86" t="e">
        <f t="shared" si="112"/>
        <v>#DIV/0!</v>
      </c>
      <c r="H1332" s="87">
        <f t="shared" ref="H1332:H1339" si="113">F1332/E1332</f>
        <v>0</v>
      </c>
      <c r="I1332" s="87" t="e">
        <f>F1332/F1331</f>
        <v>#DIV/0!</v>
      </c>
    </row>
    <row r="1333" spans="1:9" s="17" customFormat="1" ht="17.25" customHeight="1" x14ac:dyDescent="0.2">
      <c r="A1333" s="146">
        <v>3160</v>
      </c>
      <c r="B1333" s="790" t="s">
        <v>303</v>
      </c>
      <c r="C1333" s="791"/>
      <c r="D1333" s="158">
        <f>D1334+D1335+D1336+D1337+D1338+D1339+D1340</f>
        <v>210671.7</v>
      </c>
      <c r="E1333" s="383">
        <f>E1334+E1335+E1336+E1337+E1338+E1339+E1340+E1341</f>
        <v>240000</v>
      </c>
      <c r="F1333" s="383">
        <f>F1334+F1335+F1336+F1337+F1338+F1339+F1340</f>
        <v>232030.64</v>
      </c>
      <c r="G1333" s="148">
        <f t="shared" si="112"/>
        <v>1.1013849510874028</v>
      </c>
      <c r="H1333" s="137">
        <f t="shared" si="113"/>
        <v>0.96679433333333342</v>
      </c>
      <c r="I1333" s="137">
        <f>F1333/F1371</f>
        <v>2.8803072619843533E-2</v>
      </c>
    </row>
    <row r="1334" spans="1:9" s="17" customFormat="1" ht="16.5" customHeight="1" x14ac:dyDescent="0.2">
      <c r="A1334" s="103">
        <v>31610</v>
      </c>
      <c r="B1334" s="799" t="s">
        <v>304</v>
      </c>
      <c r="C1334" s="800"/>
      <c r="D1334" s="5">
        <v>0</v>
      </c>
      <c r="E1334" s="452">
        <v>0</v>
      </c>
      <c r="F1334" s="5">
        <v>0</v>
      </c>
      <c r="G1334" s="86" t="e">
        <f t="shared" si="112"/>
        <v>#DIV/0!</v>
      </c>
      <c r="H1334" s="87" t="e">
        <f t="shared" si="113"/>
        <v>#DIV/0!</v>
      </c>
      <c r="I1334" s="144">
        <f>F1334/F1333</f>
        <v>0</v>
      </c>
    </row>
    <row r="1335" spans="1:9" s="17" customFormat="1" ht="16.5" customHeight="1" x14ac:dyDescent="0.2">
      <c r="A1335" s="81">
        <v>31620</v>
      </c>
      <c r="B1335" s="799" t="s">
        <v>305</v>
      </c>
      <c r="C1335" s="800"/>
      <c r="D1335" s="5">
        <v>30488</v>
      </c>
      <c r="E1335" s="452">
        <v>30000</v>
      </c>
      <c r="F1335" s="5">
        <v>0</v>
      </c>
      <c r="G1335" s="86">
        <f t="shared" si="112"/>
        <v>0</v>
      </c>
      <c r="H1335" s="87">
        <f t="shared" si="113"/>
        <v>0</v>
      </c>
      <c r="I1335" s="87">
        <f>F1335/F1333</f>
        <v>0</v>
      </c>
    </row>
    <row r="1336" spans="1:9" s="17" customFormat="1" ht="16.5" customHeight="1" x14ac:dyDescent="0.2">
      <c r="A1336" s="81">
        <v>31640</v>
      </c>
      <c r="B1336" s="799" t="s">
        <v>306</v>
      </c>
      <c r="C1336" s="800"/>
      <c r="D1336" s="5">
        <f>0</f>
        <v>0</v>
      </c>
      <c r="E1336" s="452">
        <f>50000</f>
        <v>50000</v>
      </c>
      <c r="F1336" s="5">
        <v>45505.04</v>
      </c>
      <c r="G1336" s="86" t="e">
        <f t="shared" si="112"/>
        <v>#DIV/0!</v>
      </c>
      <c r="H1336" s="87">
        <f t="shared" si="113"/>
        <v>0.91010080000000004</v>
      </c>
      <c r="I1336" s="87">
        <f>F1336/F1333</f>
        <v>0.19611651288812545</v>
      </c>
    </row>
    <row r="1337" spans="1:9" s="17" customFormat="1" ht="16.5" customHeight="1" x14ac:dyDescent="0.2">
      <c r="A1337" s="81">
        <v>31650</v>
      </c>
      <c r="B1337" s="799" t="s">
        <v>307</v>
      </c>
      <c r="C1337" s="800"/>
      <c r="D1337" s="5">
        <f>0</f>
        <v>0</v>
      </c>
      <c r="E1337" s="452">
        <v>0</v>
      </c>
      <c r="F1337" s="5">
        <f>0</f>
        <v>0</v>
      </c>
      <c r="G1337" s="86" t="e">
        <f t="shared" si="112"/>
        <v>#DIV/0!</v>
      </c>
      <c r="H1337" s="87" t="e">
        <f t="shared" si="113"/>
        <v>#DIV/0!</v>
      </c>
      <c r="I1337" s="87">
        <f>F1337/F1333</f>
        <v>0</v>
      </c>
    </row>
    <row r="1338" spans="1:9" s="17" customFormat="1" ht="16.5" customHeight="1" x14ac:dyDescent="0.2">
      <c r="A1338" s="81">
        <v>31660</v>
      </c>
      <c r="B1338" s="799" t="s">
        <v>308</v>
      </c>
      <c r="C1338" s="800"/>
      <c r="D1338" s="5">
        <v>73980</v>
      </c>
      <c r="E1338" s="452">
        <f>60000</f>
        <v>60000</v>
      </c>
      <c r="F1338" s="5">
        <v>63775</v>
      </c>
      <c r="G1338" s="86">
        <f t="shared" si="112"/>
        <v>0.86205731278723985</v>
      </c>
      <c r="H1338" s="87">
        <f t="shared" si="113"/>
        <v>1.0629166666666667</v>
      </c>
      <c r="I1338" s="87">
        <f>F1338/F1333</f>
        <v>0.27485594143945813</v>
      </c>
    </row>
    <row r="1339" spans="1:9" s="17" customFormat="1" ht="16.5" customHeight="1" x14ac:dyDescent="0.2">
      <c r="A1339" s="81">
        <v>31680</v>
      </c>
      <c r="B1339" s="799" t="s">
        <v>539</v>
      </c>
      <c r="C1339" s="800"/>
      <c r="D1339" s="5">
        <f t="shared" ref="D1339:F1339" si="114">0+0+0+0+0</f>
        <v>0</v>
      </c>
      <c r="E1339" s="452">
        <v>0</v>
      </c>
      <c r="F1339" s="5">
        <f t="shared" si="114"/>
        <v>0</v>
      </c>
      <c r="G1339" s="86" t="e">
        <f t="shared" si="112"/>
        <v>#DIV/0!</v>
      </c>
      <c r="H1339" s="87" t="e">
        <f t="shared" si="113"/>
        <v>#DIV/0!</v>
      </c>
      <c r="I1339" s="87">
        <f>F1339/F1333</f>
        <v>0</v>
      </c>
    </row>
    <row r="1340" spans="1:9" s="17" customFormat="1" ht="16.5" customHeight="1" x14ac:dyDescent="0.2">
      <c r="A1340" s="81">
        <v>31690</v>
      </c>
      <c r="B1340" s="799" t="s">
        <v>309</v>
      </c>
      <c r="C1340" s="800"/>
      <c r="D1340" s="5">
        <v>106203.7</v>
      </c>
      <c r="E1340" s="452">
        <f>100000</f>
        <v>100000</v>
      </c>
      <c r="F1340" s="5">
        <v>122750.6</v>
      </c>
      <c r="G1340" s="86">
        <f t="shared" si="112"/>
        <v>1.1558034230445833</v>
      </c>
      <c r="H1340" s="87">
        <f>F1340/E1340</f>
        <v>1.227506</v>
      </c>
      <c r="I1340" s="87">
        <f>F1340/F1333</f>
        <v>0.52902754567241639</v>
      </c>
    </row>
    <row r="1341" spans="1:9" s="17" customFormat="1" ht="16.5" customHeight="1" x14ac:dyDescent="0.2">
      <c r="A1341" s="81">
        <v>31695</v>
      </c>
      <c r="B1341" s="568" t="s">
        <v>520</v>
      </c>
      <c r="C1341" s="569"/>
      <c r="D1341" s="5"/>
      <c r="E1341" s="452">
        <v>0</v>
      </c>
      <c r="F1341" s="5"/>
      <c r="G1341" s="86"/>
      <c r="H1341" s="87"/>
      <c r="I1341" s="87"/>
    </row>
    <row r="1342" spans="1:9" s="17" customFormat="1" ht="17.25" customHeight="1" x14ac:dyDescent="0.2">
      <c r="A1342" s="146">
        <v>3170</v>
      </c>
      <c r="B1342" s="560" t="s">
        <v>310</v>
      </c>
      <c r="C1342" s="240"/>
      <c r="D1342" s="158">
        <f>D1343+D1344+D1345+D1346+D1347</f>
        <v>137460</v>
      </c>
      <c r="E1342" s="383">
        <f>E1343+E1344+E1345+E1346+E1347</f>
        <v>250000</v>
      </c>
      <c r="F1342" s="383">
        <f>F1343+F1344+F1345+F1346+F1347</f>
        <v>38900</v>
      </c>
      <c r="G1342" s="148">
        <f t="shared" si="112"/>
        <v>0.28299141568456276</v>
      </c>
      <c r="H1342" s="137">
        <f>F1342/E1342</f>
        <v>0.15559999999999999</v>
      </c>
      <c r="I1342" s="137">
        <f>F1342/F1371</f>
        <v>4.8288429705314493E-3</v>
      </c>
    </row>
    <row r="1343" spans="1:9" s="17" customFormat="1" ht="16.5" customHeight="1" x14ac:dyDescent="0.2">
      <c r="A1343" s="520">
        <v>31700</v>
      </c>
      <c r="B1343" s="241" t="s">
        <v>311</v>
      </c>
      <c r="C1343" s="242"/>
      <c r="D1343" s="5">
        <v>137460</v>
      </c>
      <c r="E1343" s="5">
        <v>190000</v>
      </c>
      <c r="F1343" s="5">
        <v>0</v>
      </c>
      <c r="G1343" s="144">
        <f>F1343/E1343</f>
        <v>0</v>
      </c>
      <c r="H1343" s="114">
        <f>F1343/F1342</f>
        <v>0</v>
      </c>
      <c r="I1343" s="114">
        <f>F1343/F1342</f>
        <v>0</v>
      </c>
    </row>
    <row r="1344" spans="1:9" s="17" customFormat="1" ht="16.5" customHeight="1" x14ac:dyDescent="0.2">
      <c r="A1344" s="674">
        <v>31701</v>
      </c>
      <c r="B1344" s="241" t="s">
        <v>719</v>
      </c>
      <c r="C1344" s="242"/>
      <c r="D1344" s="5">
        <v>0</v>
      </c>
      <c r="E1344" s="5">
        <v>0</v>
      </c>
      <c r="F1344" s="5">
        <v>38900</v>
      </c>
      <c r="G1344" s="144" t="e">
        <f>F1344/E1344</f>
        <v>#DIV/0!</v>
      </c>
      <c r="H1344" s="114" t="e">
        <f>F1344/F1343</f>
        <v>#DIV/0!</v>
      </c>
      <c r="I1344" s="114">
        <f>F1344/F1342</f>
        <v>1</v>
      </c>
    </row>
    <row r="1345" spans="1:16" s="17" customFormat="1" ht="16.5" customHeight="1" x14ac:dyDescent="0.2">
      <c r="A1345" s="81">
        <v>31702</v>
      </c>
      <c r="B1345" s="799" t="s">
        <v>495</v>
      </c>
      <c r="C1345" s="800"/>
      <c r="D1345" s="5">
        <v>0</v>
      </c>
      <c r="E1345" s="5">
        <v>60000</v>
      </c>
      <c r="F1345" s="5">
        <v>0</v>
      </c>
      <c r="G1345" s="144">
        <f>F1345/E1345</f>
        <v>0</v>
      </c>
      <c r="H1345" s="114">
        <f>F1345/F1342</f>
        <v>0</v>
      </c>
      <c r="I1345" s="87">
        <f>F1345/F1342</f>
        <v>0</v>
      </c>
    </row>
    <row r="1346" spans="1:16" s="17" customFormat="1" ht="16.5" customHeight="1" x14ac:dyDescent="0.2">
      <c r="A1346" s="81">
        <v>31703</v>
      </c>
      <c r="B1346" s="799" t="s">
        <v>312</v>
      </c>
      <c r="C1346" s="800"/>
      <c r="D1346" s="5">
        <f>0+0+0</f>
        <v>0</v>
      </c>
      <c r="E1346" s="5">
        <v>0</v>
      </c>
      <c r="F1346" s="5">
        <f>0+0+0</f>
        <v>0</v>
      </c>
      <c r="G1346" s="144" t="e">
        <f>F1346/E1346</f>
        <v>#DIV/0!</v>
      </c>
      <c r="H1346" s="114">
        <f>F1346/F1342</f>
        <v>0</v>
      </c>
      <c r="I1346" s="87">
        <f>F1346/F1342</f>
        <v>0</v>
      </c>
    </row>
    <row r="1347" spans="1:16" s="17" customFormat="1" ht="16.5" customHeight="1" x14ac:dyDescent="0.2">
      <c r="A1347" s="81">
        <v>31706</v>
      </c>
      <c r="B1347" s="799" t="s">
        <v>313</v>
      </c>
      <c r="C1347" s="800"/>
      <c r="D1347" s="5">
        <v>0</v>
      </c>
      <c r="E1347" s="5">
        <v>0</v>
      </c>
      <c r="F1347" s="5">
        <v>0</v>
      </c>
      <c r="G1347" s="144" t="e">
        <f>F1347/E1347</f>
        <v>#DIV/0!</v>
      </c>
      <c r="H1347" s="114" t="e">
        <f>F1347/F1343</f>
        <v>#DIV/0!</v>
      </c>
      <c r="I1347" s="87">
        <f>F1347/F1342</f>
        <v>0</v>
      </c>
    </row>
    <row r="1348" spans="1:16" s="17" customFormat="1" ht="17.25" customHeight="1" x14ac:dyDescent="0.2">
      <c r="A1348" s="146">
        <v>3190</v>
      </c>
      <c r="B1348" s="790" t="s">
        <v>314</v>
      </c>
      <c r="C1348" s="791"/>
      <c r="D1348" s="158">
        <f>D1349+D1350</f>
        <v>0</v>
      </c>
      <c r="E1348" s="158">
        <f>E1349+E1350</f>
        <v>0</v>
      </c>
      <c r="F1348" s="158">
        <f>F1349+F1350</f>
        <v>0</v>
      </c>
      <c r="G1348" s="148">
        <f>F1352/D1352</f>
        <v>0.65103471613537367</v>
      </c>
      <c r="H1348" s="137" t="e">
        <f>F1348/E1348</f>
        <v>#DIV/0!</v>
      </c>
      <c r="I1348" s="137">
        <f>F1348/F1371</f>
        <v>0</v>
      </c>
    </row>
    <row r="1349" spans="1:16" s="17" customFormat="1" ht="16.5" customHeight="1" x14ac:dyDescent="0.2">
      <c r="A1349" s="238">
        <v>31900</v>
      </c>
      <c r="B1349" s="801" t="s">
        <v>314</v>
      </c>
      <c r="C1349" s="802"/>
      <c r="D1349" s="5">
        <f>0+0+0+0+0</f>
        <v>0</v>
      </c>
      <c r="E1349" s="5">
        <f t="shared" ref="E1349:E1350" si="115">0+0+0</f>
        <v>0</v>
      </c>
      <c r="F1349" s="5">
        <f>0+0+0+0+0</f>
        <v>0</v>
      </c>
      <c r="G1349" s="86">
        <f>F1353/D1353</f>
        <v>0.5573220575105744</v>
      </c>
      <c r="H1349" s="87" t="e">
        <f>F1352/E1352</f>
        <v>#DIV/0!</v>
      </c>
      <c r="I1349" s="87" t="e">
        <f>F1349/F1348</f>
        <v>#DIV/0!</v>
      </c>
    </row>
    <row r="1350" spans="1:16" s="17" customFormat="1" ht="16.5" customHeight="1" x14ac:dyDescent="0.2">
      <c r="A1350" s="238">
        <v>31910</v>
      </c>
      <c r="B1350" s="803" t="s">
        <v>315</v>
      </c>
      <c r="C1350" s="804"/>
      <c r="D1350" s="5">
        <f>0+0+0+0+0</f>
        <v>0</v>
      </c>
      <c r="E1350" s="5">
        <f t="shared" si="115"/>
        <v>0</v>
      </c>
      <c r="F1350" s="5">
        <f>0+0+0+0+0</f>
        <v>0</v>
      </c>
      <c r="G1350" s="86">
        <f>F1356/D1356</f>
        <v>0</v>
      </c>
      <c r="H1350" s="87">
        <f>F1353/E1353</f>
        <v>0.55454051183003372</v>
      </c>
      <c r="I1350" s="87" t="e">
        <f>F1350/F1348</f>
        <v>#DIV/0!</v>
      </c>
    </row>
    <row r="1351" spans="1:16" s="17" customFormat="1" ht="17.25" customHeight="1" x14ac:dyDescent="0.2">
      <c r="A1351" s="146">
        <v>3210</v>
      </c>
      <c r="B1351" s="790" t="s">
        <v>316</v>
      </c>
      <c r="C1351" s="791"/>
      <c r="D1351" s="158">
        <f>D1352+D1353+D1354</f>
        <v>1259789.49</v>
      </c>
      <c r="E1351" s="383">
        <f>E1352+E1353</f>
        <v>1035500</v>
      </c>
      <c r="F1351" s="383">
        <f>F1352+F1353+F1354+F1355</f>
        <v>991681.15999999992</v>
      </c>
      <c r="G1351" s="148">
        <f>F1351/D1351</f>
        <v>0.78718005497886789</v>
      </c>
      <c r="H1351" s="137">
        <f>F1351/E1351</f>
        <v>0.95768339932399804</v>
      </c>
      <c r="I1351" s="137">
        <f>F1351/F1371</f>
        <v>0.12310212335409956</v>
      </c>
    </row>
    <row r="1352" spans="1:16" s="17" customFormat="1" ht="16.5" customHeight="1" x14ac:dyDescent="0.2">
      <c r="A1352" s="81">
        <v>32100</v>
      </c>
      <c r="B1352" s="799" t="s">
        <v>316</v>
      </c>
      <c r="C1352" s="800"/>
      <c r="D1352" s="5">
        <v>227425.66</v>
      </c>
      <c r="E1352" s="5">
        <v>0</v>
      </c>
      <c r="F1352" s="5">
        <v>148062</v>
      </c>
      <c r="G1352" s="86">
        <f>F1357/D1357</f>
        <v>0</v>
      </c>
      <c r="H1352" s="87" t="e">
        <f>F1357/E1357</f>
        <v>#DIV/0!</v>
      </c>
      <c r="I1352" s="87">
        <f>F1352/F1351</f>
        <v>0.1493040363900833</v>
      </c>
    </row>
    <row r="1353" spans="1:16" s="17" customFormat="1" ht="16.5" customHeight="1" x14ac:dyDescent="0.2">
      <c r="A1353" s="81">
        <v>32110</v>
      </c>
      <c r="B1353" s="799" t="s">
        <v>441</v>
      </c>
      <c r="C1353" s="800"/>
      <c r="D1353" s="5">
        <v>1030331.91</v>
      </c>
      <c r="E1353" s="5">
        <v>1035500</v>
      </c>
      <c r="F1353" s="5">
        <v>574226.69999999995</v>
      </c>
      <c r="G1353" s="86">
        <f>F1358/D1358</f>
        <v>5.3533213748296946</v>
      </c>
      <c r="H1353" s="87" t="e">
        <f>F1358/E1358</f>
        <v>#DIV/0!</v>
      </c>
      <c r="I1353" s="87">
        <f>F1353/F1351</f>
        <v>0.57904367165753157</v>
      </c>
    </row>
    <row r="1354" spans="1:16" s="17" customFormat="1" ht="16.5" customHeight="1" x14ac:dyDescent="0.2">
      <c r="A1354" s="81">
        <v>32111</v>
      </c>
      <c r="B1354" s="568" t="s">
        <v>550</v>
      </c>
      <c r="C1354" s="569"/>
      <c r="D1354" s="5">
        <v>2031.92</v>
      </c>
      <c r="E1354" s="5">
        <v>0</v>
      </c>
      <c r="F1354" s="5">
        <v>212182.46</v>
      </c>
      <c r="G1354" s="86" t="e">
        <f>F1359/D1359</f>
        <v>#DIV/0!</v>
      </c>
      <c r="H1354" s="87" t="e">
        <f>F1354/E1354</f>
        <v>#DIV/0!</v>
      </c>
      <c r="I1354" s="87">
        <f>F1354/F1351</f>
        <v>0.21396237879521682</v>
      </c>
    </row>
    <row r="1355" spans="1:16" s="17" customFormat="1" ht="16.5" customHeight="1" x14ac:dyDescent="0.2">
      <c r="A1355" s="81">
        <v>32140</v>
      </c>
      <c r="B1355" s="671" t="s">
        <v>720</v>
      </c>
      <c r="C1355" s="672"/>
      <c r="D1355" s="5">
        <v>0</v>
      </c>
      <c r="E1355" s="5">
        <v>0</v>
      </c>
      <c r="F1355" s="5">
        <v>57210</v>
      </c>
      <c r="G1355" s="86" t="e">
        <f>F1360/D1360</f>
        <v>#DIV/0!</v>
      </c>
      <c r="H1355" s="87" t="e">
        <f>F1355/E1355</f>
        <v>#DIV/0!</v>
      </c>
      <c r="I1355" s="87">
        <f>F1355/F1351</f>
        <v>5.7689913157168385E-2</v>
      </c>
    </row>
    <row r="1356" spans="1:16" s="17" customFormat="1" ht="17.25" customHeight="1" x14ac:dyDescent="0.2">
      <c r="A1356" s="146">
        <v>3320</v>
      </c>
      <c r="B1356" s="790" t="s">
        <v>317</v>
      </c>
      <c r="C1356" s="791"/>
      <c r="D1356" s="158">
        <f>D1357</f>
        <v>204014.26</v>
      </c>
      <c r="E1356" s="158">
        <f>E1357</f>
        <v>0</v>
      </c>
      <c r="F1356" s="383">
        <f>F1357</f>
        <v>0</v>
      </c>
      <c r="G1356" s="148">
        <f>F1356/D1356</f>
        <v>0</v>
      </c>
      <c r="H1356" s="137" t="e">
        <f>F1356/E1356</f>
        <v>#DIV/0!</v>
      </c>
      <c r="I1356" s="137">
        <f>F1356/F1371</f>
        <v>0</v>
      </c>
    </row>
    <row r="1357" spans="1:16" s="17" customFormat="1" ht="16.5" customHeight="1" x14ac:dyDescent="0.2">
      <c r="A1357" s="103">
        <v>33200</v>
      </c>
      <c r="B1357" s="801" t="s">
        <v>317</v>
      </c>
      <c r="C1357" s="802"/>
      <c r="D1357" s="5">
        <v>204014.26</v>
      </c>
      <c r="E1357" s="5">
        <f>0+0</f>
        <v>0</v>
      </c>
      <c r="F1357" s="5">
        <v>0</v>
      </c>
      <c r="G1357" s="143">
        <f>F1357/D1357</f>
        <v>0</v>
      </c>
      <c r="H1357" s="87">
        <f>F1367/E1367</f>
        <v>0</v>
      </c>
      <c r="I1357" s="144" t="e">
        <f>F1357/F1356</f>
        <v>#DIV/0!</v>
      </c>
    </row>
    <row r="1358" spans="1:16" s="17" customFormat="1" ht="16.5" customHeight="1" x14ac:dyDescent="0.2">
      <c r="A1358" s="146">
        <v>3400</v>
      </c>
      <c r="B1358" s="790" t="s">
        <v>277</v>
      </c>
      <c r="C1358" s="791"/>
      <c r="D1358" s="158">
        <f>D1365+D1366</f>
        <v>248436.88</v>
      </c>
      <c r="E1358" s="158">
        <f>E1365+E1366</f>
        <v>0</v>
      </c>
      <c r="F1358" s="158">
        <f>F1365+F1366</f>
        <v>1329962.46</v>
      </c>
      <c r="G1358" s="148">
        <f>F1358/D1358</f>
        <v>5.3533213748296946</v>
      </c>
      <c r="H1358" s="137" t="e">
        <f>F1358/E1358</f>
        <v>#DIV/0!</v>
      </c>
      <c r="I1358" s="137">
        <f>F1358/F1371</f>
        <v>0.16509459835582813</v>
      </c>
    </row>
    <row r="1359" spans="1:16" s="17" customFormat="1" ht="16.5" customHeight="1" x14ac:dyDescent="0.2">
      <c r="A1359" s="170"/>
      <c r="B1359" s="417"/>
      <c r="C1359" s="417"/>
      <c r="D1359" s="171"/>
      <c r="E1359" s="171"/>
      <c r="F1359" s="171"/>
      <c r="G1359" s="190"/>
      <c r="H1359" s="191"/>
      <c r="I1359" s="191"/>
      <c r="L1359" s="636"/>
      <c r="M1359" s="636"/>
      <c r="N1359" s="636"/>
      <c r="O1359" s="636"/>
      <c r="P1359" s="636"/>
    </row>
    <row r="1360" spans="1:16" s="17" customFormat="1" ht="16.5" customHeight="1" x14ac:dyDescent="0.2">
      <c r="A1360" s="170"/>
      <c r="B1360" s="417"/>
      <c r="C1360" s="417"/>
      <c r="D1360" s="171"/>
      <c r="E1360" s="171"/>
      <c r="F1360" s="171"/>
      <c r="G1360" s="190"/>
      <c r="H1360" s="191"/>
      <c r="I1360" s="682">
        <v>22</v>
      </c>
      <c r="L1360" s="636"/>
      <c r="M1360" s="636"/>
      <c r="N1360" s="636"/>
      <c r="O1360" s="636"/>
      <c r="P1360" s="636"/>
    </row>
    <row r="1361" spans="1:16" s="17" customFormat="1" ht="16.5" customHeight="1" x14ac:dyDescent="0.2">
      <c r="A1361" s="170"/>
      <c r="B1361" s="417"/>
      <c r="C1361" s="417"/>
      <c r="D1361" s="171"/>
      <c r="E1361" s="171"/>
      <c r="F1361" s="171"/>
      <c r="G1361" s="190"/>
      <c r="H1361" s="191"/>
      <c r="I1361" s="191"/>
      <c r="L1361" s="666"/>
      <c r="M1361" s="666"/>
      <c r="N1361" s="666"/>
      <c r="O1361" s="666"/>
      <c r="P1361" s="666"/>
    </row>
    <row r="1362" spans="1:16" s="17" customFormat="1" ht="16.5" customHeight="1" x14ac:dyDescent="0.2">
      <c r="A1362" s="170"/>
      <c r="B1362" s="417"/>
      <c r="C1362" s="417"/>
      <c r="D1362" s="171"/>
      <c r="E1362" s="171"/>
      <c r="F1362" s="171"/>
      <c r="G1362" s="190"/>
      <c r="H1362" s="191"/>
      <c r="I1362" s="191"/>
      <c r="L1362" s="636"/>
      <c r="M1362" s="636"/>
      <c r="N1362" s="636"/>
      <c r="O1362" s="636"/>
      <c r="P1362" s="636"/>
    </row>
    <row r="1363" spans="1:16" s="17" customFormat="1" ht="16.5" customHeight="1" x14ac:dyDescent="0.2">
      <c r="A1363" s="170"/>
      <c r="B1363" s="417"/>
      <c r="C1363" s="417"/>
      <c r="D1363" s="171"/>
      <c r="E1363" s="171"/>
      <c r="F1363" s="171"/>
      <c r="G1363" s="190"/>
      <c r="H1363" s="191"/>
      <c r="I1363" s="682"/>
      <c r="L1363" s="666"/>
      <c r="M1363" s="666"/>
      <c r="N1363" s="666"/>
      <c r="O1363" s="666"/>
      <c r="P1363" s="666"/>
    </row>
    <row r="1364" spans="1:16" s="17" customFormat="1" ht="16.5" customHeight="1" x14ac:dyDescent="0.2">
      <c r="I1364" s="575"/>
    </row>
    <row r="1365" spans="1:16" s="17" customFormat="1" ht="16.5" customHeight="1" x14ac:dyDescent="0.2">
      <c r="A1365" s="81">
        <v>34000</v>
      </c>
      <c r="B1365" s="799" t="s">
        <v>277</v>
      </c>
      <c r="C1365" s="800"/>
      <c r="D1365" s="5">
        <v>248436.88</v>
      </c>
      <c r="E1365" s="5">
        <v>0</v>
      </c>
      <c r="F1365" s="5">
        <v>1329962.46</v>
      </c>
      <c r="G1365" s="86">
        <f>F1365/D1365</f>
        <v>5.3533213748296946</v>
      </c>
      <c r="H1365" s="87">
        <f>F1369/E1369</f>
        <v>0</v>
      </c>
      <c r="I1365" s="87">
        <f>F1365/F1358</f>
        <v>1</v>
      </c>
    </row>
    <row r="1366" spans="1:16" s="17" customFormat="1" ht="16.5" customHeight="1" x14ac:dyDescent="0.2">
      <c r="A1366" s="81">
        <v>34100</v>
      </c>
      <c r="B1366" s="568" t="s">
        <v>318</v>
      </c>
      <c r="C1366" s="569"/>
      <c r="D1366" s="5">
        <v>0</v>
      </c>
      <c r="E1366" s="5">
        <v>0</v>
      </c>
      <c r="F1366" s="5">
        <v>0</v>
      </c>
      <c r="G1366" s="86" t="e">
        <f>F1366/D1366</f>
        <v>#DIV/0!</v>
      </c>
      <c r="H1366" s="87" t="e">
        <f>F1366/E1366</f>
        <v>#DIV/0!</v>
      </c>
      <c r="I1366" s="87">
        <f>F1366/F1358</f>
        <v>0</v>
      </c>
    </row>
    <row r="1367" spans="1:16" s="17" customFormat="1" ht="16.5" customHeight="1" x14ac:dyDescent="0.2">
      <c r="A1367" s="81"/>
      <c r="B1367" s="738" t="s">
        <v>271</v>
      </c>
      <c r="C1367" s="739"/>
      <c r="D1367" s="5"/>
      <c r="E1367" s="5">
        <f>E1198</f>
        <v>1544253.41</v>
      </c>
      <c r="F1367" s="5"/>
      <c r="G1367" s="86"/>
      <c r="H1367" s="87"/>
      <c r="I1367" s="87"/>
    </row>
    <row r="1368" spans="1:16" s="17" customFormat="1" ht="16.5" customHeight="1" x14ac:dyDescent="0.2">
      <c r="A1368" s="81"/>
      <c r="B1368" s="738" t="s">
        <v>191</v>
      </c>
      <c r="C1368" s="739"/>
      <c r="D1368" s="5"/>
      <c r="E1368" s="5">
        <f>E1199</f>
        <v>25472.300000000003</v>
      </c>
      <c r="F1368" s="5"/>
      <c r="G1368" s="86"/>
      <c r="H1368" s="87"/>
      <c r="I1368" s="87"/>
    </row>
    <row r="1369" spans="1:16" s="17" customFormat="1" ht="16.5" customHeight="1" x14ac:dyDescent="0.2">
      <c r="A1369" s="81"/>
      <c r="B1369" s="738" t="s">
        <v>272</v>
      </c>
      <c r="C1369" s="739"/>
      <c r="D1369" s="5"/>
      <c r="E1369" s="5">
        <f>E1200</f>
        <v>938060.03999999992</v>
      </c>
      <c r="F1369" s="5"/>
      <c r="G1369" s="86"/>
      <c r="H1369" s="87"/>
      <c r="I1369" s="87"/>
    </row>
    <row r="1370" spans="1:16" s="17" customFormat="1" ht="16.5" customHeight="1" x14ac:dyDescent="0.2">
      <c r="A1370" s="230"/>
      <c r="B1370" s="738" t="s">
        <v>160</v>
      </c>
      <c r="C1370" s="739"/>
      <c r="D1370" s="145"/>
      <c r="E1370" s="145">
        <v>0</v>
      </c>
      <c r="F1370" s="145"/>
      <c r="G1370" s="86"/>
      <c r="H1370" s="87"/>
      <c r="I1370" s="243"/>
    </row>
    <row r="1371" spans="1:16" s="17" customFormat="1" ht="16.5" customHeight="1" x14ac:dyDescent="0.2">
      <c r="A1371" s="512"/>
      <c r="B1371" s="790" t="s">
        <v>84</v>
      </c>
      <c r="C1371" s="791"/>
      <c r="D1371" s="386">
        <f>D1310+D1323+D1331+D1333+D1342+D1348+D1351+D1356+D1358+D1367+D1368+D1369+D1370</f>
        <v>5854383.5199999996</v>
      </c>
      <c r="E1371" s="386">
        <f>E1310+E1323+E1331+E1333+E1342+E1348+E1351+E1356+E1358+E1367+E1368+E1369+E1370</f>
        <v>14534056.75</v>
      </c>
      <c r="F1371" s="386">
        <f>F1310+F1323+F1331+F1333+F1342+F1348+F1351+F1356+F1358+F1367+F1368+F1369+F1370</f>
        <v>8055759.9900000002</v>
      </c>
      <c r="G1371" s="169">
        <f>F1371/D1371</f>
        <v>1.3760219094768156</v>
      </c>
      <c r="H1371" s="137">
        <f>F1371/E1371</f>
        <v>0.55426782271233388</v>
      </c>
      <c r="I1371" s="244">
        <f>I1310+I1323+I1331+I1333+I1342+I1348+I1351+I1356+I1358</f>
        <v>0.99999999999999978</v>
      </c>
    </row>
    <row r="1372" spans="1:16" s="17" customFormat="1" ht="16.5" customHeight="1" x14ac:dyDescent="0.2">
      <c r="A1372" s="792" t="s">
        <v>691</v>
      </c>
      <c r="B1372" s="792"/>
      <c r="C1372" s="792"/>
      <c r="D1372" s="792"/>
      <c r="E1372" s="792"/>
      <c r="F1372" s="792"/>
      <c r="G1372" s="792"/>
      <c r="H1372" s="792"/>
      <c r="I1372" s="792"/>
    </row>
    <row r="1373" spans="1:16" s="17" customFormat="1" ht="16.5" customHeight="1" x14ac:dyDescent="0.2">
      <c r="A1373" s="673"/>
      <c r="B1373" s="673" t="s">
        <v>721</v>
      </c>
      <c r="C1373" s="673"/>
      <c r="D1373" s="673"/>
      <c r="E1373" s="673"/>
      <c r="F1373" s="673"/>
      <c r="G1373" s="673"/>
      <c r="H1373" s="673"/>
      <c r="I1373" s="673"/>
    </row>
    <row r="1374" spans="1:16" s="17" customFormat="1" ht="16.5" customHeight="1" x14ac:dyDescent="0.2">
      <c r="A1374" s="673" t="s">
        <v>722</v>
      </c>
      <c r="B1374" s="673"/>
      <c r="C1374" s="673"/>
      <c r="D1374" s="673"/>
      <c r="E1374" s="673"/>
      <c r="F1374" s="673"/>
      <c r="G1374" s="673"/>
      <c r="H1374" s="673"/>
      <c r="I1374" s="673"/>
    </row>
    <row r="1375" spans="1:16" s="17" customFormat="1" ht="16.5" customHeight="1" x14ac:dyDescent="0.2">
      <c r="A1375" s="673"/>
      <c r="B1375" s="673" t="s">
        <v>723</v>
      </c>
      <c r="C1375" s="673"/>
      <c r="D1375" s="673"/>
      <c r="E1375" s="673"/>
      <c r="F1375" s="673"/>
      <c r="G1375" s="673"/>
      <c r="H1375" s="673"/>
      <c r="I1375" s="673"/>
    </row>
    <row r="1376" spans="1:16" s="17" customFormat="1" ht="16.5" customHeight="1" x14ac:dyDescent="0.2">
      <c r="A1376" s="673" t="s">
        <v>724</v>
      </c>
      <c r="B1376" s="673"/>
      <c r="C1376" s="673"/>
      <c r="D1376" s="673"/>
      <c r="E1376" s="673"/>
      <c r="F1376" s="673"/>
      <c r="G1376" s="673"/>
      <c r="H1376" s="673"/>
      <c r="I1376" s="673"/>
    </row>
    <row r="1377" spans="1:9" s="17" customFormat="1" ht="16.5" customHeight="1" x14ac:dyDescent="0.2">
      <c r="A1377" s="673"/>
      <c r="B1377" s="673" t="s">
        <v>725</v>
      </c>
      <c r="C1377" s="673"/>
      <c r="D1377" s="673"/>
      <c r="E1377" s="673"/>
      <c r="F1377" s="673"/>
      <c r="G1377" s="673"/>
      <c r="H1377" s="673"/>
      <c r="I1377" s="673"/>
    </row>
    <row r="1378" spans="1:9" s="17" customFormat="1" ht="16.5" customHeight="1" x14ac:dyDescent="0.2">
      <c r="A1378" s="673" t="s">
        <v>726</v>
      </c>
      <c r="B1378" s="673"/>
      <c r="C1378" s="673"/>
      <c r="D1378" s="673"/>
      <c r="E1378" s="673"/>
      <c r="F1378" s="673"/>
      <c r="G1378" s="673"/>
      <c r="H1378" s="673"/>
      <c r="I1378" s="673"/>
    </row>
    <row r="1379" spans="1:9" s="17" customFormat="1" ht="16.5" customHeight="1" x14ac:dyDescent="0.2">
      <c r="A1379" s="673" t="s">
        <v>727</v>
      </c>
      <c r="B1379" s="673"/>
      <c r="C1379" s="673"/>
      <c r="D1379" s="673"/>
      <c r="E1379" s="673"/>
      <c r="F1379" s="673"/>
      <c r="G1379" s="673"/>
      <c r="H1379" s="673"/>
      <c r="I1379" s="673"/>
    </row>
    <row r="1380" spans="1:9" s="17" customFormat="1" ht="16.5" customHeight="1" x14ac:dyDescent="0.2">
      <c r="A1380" s="537"/>
      <c r="B1380" s="714" t="s">
        <v>728</v>
      </c>
      <c r="C1380" s="714"/>
      <c r="D1380" s="714"/>
      <c r="E1380" s="714"/>
      <c r="F1380" s="714"/>
      <c r="G1380" s="714"/>
      <c r="H1380" s="714"/>
      <c r="I1380" s="714"/>
    </row>
    <row r="1381" spans="1:9" s="17" customFormat="1" ht="16.5" customHeight="1" x14ac:dyDescent="0.2">
      <c r="A1381" s="678" t="s">
        <v>729</v>
      </c>
      <c r="B1381" s="677"/>
      <c r="C1381" s="677"/>
      <c r="D1381" s="677"/>
      <c r="E1381" s="677"/>
      <c r="F1381" s="677"/>
      <c r="G1381" s="677"/>
      <c r="H1381" s="677"/>
      <c r="I1381" s="677"/>
    </row>
    <row r="1382" spans="1:9" s="17" customFormat="1" ht="16.5" customHeight="1" x14ac:dyDescent="0.2">
      <c r="A1382" s="714" t="s">
        <v>730</v>
      </c>
      <c r="B1382" s="714"/>
      <c r="C1382" s="714"/>
      <c r="D1382" s="714"/>
      <c r="E1382" s="714"/>
      <c r="F1382" s="714"/>
      <c r="G1382" s="714"/>
      <c r="H1382" s="714"/>
      <c r="I1382" s="714"/>
    </row>
    <row r="1383" spans="1:9" s="17" customFormat="1" ht="16.5" customHeight="1" x14ac:dyDescent="0.2">
      <c r="A1383" s="518"/>
      <c r="B1383" s="518"/>
      <c r="C1383" s="518"/>
      <c r="D1383" s="518"/>
      <c r="E1383" s="518"/>
      <c r="F1383" s="518"/>
      <c r="G1383" s="518"/>
      <c r="H1383" s="518"/>
      <c r="I1383" s="518"/>
    </row>
    <row r="1384" spans="1:9" s="17" customFormat="1" ht="15" customHeight="1" x14ac:dyDescent="0.2">
      <c r="A1384" s="518"/>
      <c r="B1384" s="518"/>
      <c r="C1384" s="518"/>
      <c r="D1384" s="518"/>
      <c r="E1384" s="518"/>
      <c r="F1384" s="518"/>
      <c r="G1384" s="518"/>
      <c r="H1384" s="518"/>
      <c r="I1384" s="518"/>
    </row>
    <row r="1385" spans="1:9" s="17" customFormat="1" ht="15" customHeight="1" x14ac:dyDescent="0.2">
      <c r="I1385" s="216"/>
    </row>
    <row r="1386" spans="1:9" s="17" customFormat="1" ht="14.25" customHeight="1" x14ac:dyDescent="0.2">
      <c r="I1386" s="216"/>
    </row>
    <row r="1387" spans="1:9" s="17" customFormat="1" ht="15.75" customHeight="1" x14ac:dyDescent="0.2">
      <c r="I1387" s="216"/>
    </row>
    <row r="1388" spans="1:9" s="17" customFormat="1" ht="15.75" customHeight="1" x14ac:dyDescent="0.2">
      <c r="I1388" s="216"/>
    </row>
    <row r="1389" spans="1:9" s="17" customFormat="1" ht="15.75" customHeight="1" x14ac:dyDescent="0.2">
      <c r="I1389" s="216"/>
    </row>
    <row r="1390" spans="1:9" s="17" customFormat="1" ht="15.75" customHeight="1" x14ac:dyDescent="0.2">
      <c r="I1390" s="216"/>
    </row>
    <row r="1391" spans="1:9" s="17" customFormat="1" ht="15.75" customHeight="1" x14ac:dyDescent="0.2">
      <c r="I1391" s="216"/>
    </row>
    <row r="1392" spans="1:9" s="17" customFormat="1" ht="15.75" customHeight="1" x14ac:dyDescent="0.2">
      <c r="I1392" s="216"/>
    </row>
    <row r="1393" spans="9:9" s="17" customFormat="1" ht="15.75" customHeight="1" x14ac:dyDescent="0.2">
      <c r="I1393" s="216"/>
    </row>
    <row r="1394" spans="9:9" s="17" customFormat="1" ht="15.75" customHeight="1" x14ac:dyDescent="0.2">
      <c r="I1394" s="216"/>
    </row>
    <row r="1395" spans="9:9" s="17" customFormat="1" ht="15.75" customHeight="1" x14ac:dyDescent="0.2">
      <c r="I1395" s="216"/>
    </row>
    <row r="1396" spans="9:9" s="17" customFormat="1" ht="15.75" customHeight="1" x14ac:dyDescent="0.2">
      <c r="I1396" s="216"/>
    </row>
    <row r="1397" spans="9:9" s="17" customFormat="1" ht="15.75" customHeight="1" x14ac:dyDescent="0.2">
      <c r="I1397" s="216"/>
    </row>
    <row r="1398" spans="9:9" s="17" customFormat="1" ht="15.75" customHeight="1" x14ac:dyDescent="0.2">
      <c r="I1398" s="216"/>
    </row>
    <row r="1399" spans="9:9" s="17" customFormat="1" ht="15.75" customHeight="1" x14ac:dyDescent="0.2">
      <c r="I1399" s="216"/>
    </row>
    <row r="1400" spans="9:9" s="17" customFormat="1" ht="15.75" customHeight="1" x14ac:dyDescent="0.2">
      <c r="I1400" s="216"/>
    </row>
    <row r="1401" spans="9:9" s="17" customFormat="1" ht="15.75" customHeight="1" x14ac:dyDescent="0.2">
      <c r="I1401" s="216"/>
    </row>
    <row r="1402" spans="9:9" s="17" customFormat="1" ht="15.75" customHeight="1" x14ac:dyDescent="0.2">
      <c r="I1402" s="216"/>
    </row>
    <row r="1403" spans="9:9" s="17" customFormat="1" ht="15.75" customHeight="1" x14ac:dyDescent="0.2">
      <c r="I1403" s="216"/>
    </row>
    <row r="1404" spans="9:9" s="17" customFormat="1" ht="15.75" customHeight="1" x14ac:dyDescent="0.2">
      <c r="I1404" s="216"/>
    </row>
    <row r="1405" spans="9:9" s="17" customFormat="1" ht="15.75" customHeight="1" x14ac:dyDescent="0.2">
      <c r="I1405" s="216"/>
    </row>
    <row r="1406" spans="9:9" s="17" customFormat="1" ht="15.75" customHeight="1" x14ac:dyDescent="0.2">
      <c r="I1406" s="216"/>
    </row>
    <row r="1407" spans="9:9" s="17" customFormat="1" ht="15.75" customHeight="1" x14ac:dyDescent="0.2">
      <c r="I1407" s="216"/>
    </row>
    <row r="1408" spans="9:9" s="17" customFormat="1" ht="15.75" customHeight="1" x14ac:dyDescent="0.2">
      <c r="I1408" s="216"/>
    </row>
    <row r="1409" spans="1:13" s="17" customFormat="1" ht="15.75" customHeight="1" x14ac:dyDescent="0.2">
      <c r="I1409" s="216"/>
    </row>
    <row r="1410" spans="1:13" s="17" customFormat="1" ht="15.75" customHeight="1" x14ac:dyDescent="0.2">
      <c r="I1410" s="216"/>
    </row>
    <row r="1411" spans="1:13" s="17" customFormat="1" ht="15.75" customHeight="1" x14ac:dyDescent="0.2">
      <c r="I1411" s="216"/>
    </row>
    <row r="1412" spans="1:13" s="17" customFormat="1" ht="15.75" customHeight="1" x14ac:dyDescent="0.2">
      <c r="I1412" s="216"/>
    </row>
    <row r="1413" spans="1:13" s="17" customFormat="1" ht="15.75" customHeight="1" x14ac:dyDescent="0.2">
      <c r="I1413" s="216"/>
    </row>
    <row r="1414" spans="1:13" s="17" customFormat="1" ht="15.75" customHeight="1" x14ac:dyDescent="0.2">
      <c r="I1414" s="216"/>
    </row>
    <row r="1415" spans="1:13" s="17" customFormat="1" ht="15.75" customHeight="1" x14ac:dyDescent="0.2">
      <c r="I1415" s="216"/>
    </row>
    <row r="1416" spans="1:13" s="17" customFormat="1" ht="15.75" customHeight="1" x14ac:dyDescent="0.2">
      <c r="I1416" s="216"/>
    </row>
    <row r="1417" spans="1:13" s="17" customFormat="1" ht="15.75" customHeight="1" x14ac:dyDescent="0.2">
      <c r="I1417" s="216"/>
    </row>
    <row r="1418" spans="1:13" s="17" customFormat="1" ht="15.75" customHeight="1" x14ac:dyDescent="0.2">
      <c r="I1418" s="216"/>
    </row>
    <row r="1419" spans="1:13" s="17" customFormat="1" ht="15.75" customHeight="1" x14ac:dyDescent="0.2">
      <c r="I1419" s="216"/>
    </row>
    <row r="1420" spans="1:13" s="17" customFormat="1" ht="15.75" customHeight="1" x14ac:dyDescent="0.2">
      <c r="I1420" s="216"/>
    </row>
    <row r="1421" spans="1:13" s="17" customFormat="1" ht="15.75" customHeight="1" x14ac:dyDescent="0.2">
      <c r="I1421" s="676">
        <v>23</v>
      </c>
    </row>
    <row r="1422" spans="1:13" s="17" customFormat="1" ht="15.75" customHeight="1" x14ac:dyDescent="0.2">
      <c r="I1422" s="216"/>
    </row>
    <row r="1423" spans="1:13" s="17" customFormat="1" ht="16.5" customHeight="1" x14ac:dyDescent="0.2">
      <c r="I1423" s="216"/>
    </row>
    <row r="1424" spans="1:13" s="17" customFormat="1" ht="16.5" customHeight="1" x14ac:dyDescent="0.2">
      <c r="A1424" s="540"/>
      <c r="B1424" s="797" t="s">
        <v>319</v>
      </c>
      <c r="C1424" s="797"/>
      <c r="D1424" s="797"/>
      <c r="E1424" s="797"/>
      <c r="F1424" s="541"/>
      <c r="G1424" s="541"/>
      <c r="H1424" s="541"/>
      <c r="I1424" s="541"/>
      <c r="M1424" s="431"/>
    </row>
    <row r="1425" spans="1:9" s="17" customFormat="1" ht="16.5" customHeight="1" x14ac:dyDescent="0.2">
      <c r="A1425" s="540"/>
      <c r="B1425" s="540"/>
      <c r="C1425" s="540"/>
      <c r="D1425" s="540"/>
      <c r="E1425" s="540"/>
      <c r="F1425" s="541"/>
      <c r="G1425" s="541"/>
      <c r="H1425" s="541"/>
      <c r="I1425" s="541"/>
    </row>
    <row r="1426" spans="1:9" s="17" customFormat="1" ht="16.5" customHeight="1" x14ac:dyDescent="0.2">
      <c r="A1426" s="540"/>
      <c r="B1426" s="720" t="s">
        <v>456</v>
      </c>
      <c r="C1426" s="720"/>
      <c r="D1426" s="720"/>
      <c r="E1426" s="720"/>
      <c r="F1426" s="720"/>
      <c r="G1426" s="720"/>
      <c r="H1426" s="720"/>
      <c r="I1426" s="720"/>
    </row>
    <row r="1427" spans="1:9" s="17" customFormat="1" ht="16.5" customHeight="1" x14ac:dyDescent="0.2">
      <c r="A1427" s="540"/>
      <c r="B1427" s="524"/>
      <c r="C1427" s="524"/>
      <c r="D1427" s="524"/>
      <c r="E1427" s="524"/>
      <c r="F1427" s="524"/>
      <c r="G1427" s="524"/>
      <c r="H1427" s="524"/>
      <c r="I1427" s="524"/>
    </row>
    <row r="1428" spans="1:9" s="17" customFormat="1" ht="16.5" customHeight="1" x14ac:dyDescent="0.2">
      <c r="A1428" s="541"/>
      <c r="B1428" s="798" t="s">
        <v>731</v>
      </c>
      <c r="C1428" s="798"/>
      <c r="D1428" s="798"/>
      <c r="E1428" s="798"/>
      <c r="F1428" s="798"/>
      <c r="G1428" s="798"/>
      <c r="H1428" s="798"/>
      <c r="I1428" s="245"/>
    </row>
    <row r="1429" spans="1:9" s="17" customFormat="1" ht="16.5" customHeight="1" x14ac:dyDescent="0.2">
      <c r="A1429" s="523"/>
      <c r="B1429" s="523"/>
      <c r="C1429" s="523"/>
      <c r="D1429" s="523"/>
      <c r="E1429" s="701" t="s">
        <v>85</v>
      </c>
      <c r="F1429" s="523"/>
      <c r="G1429" s="523"/>
      <c r="H1429" s="523"/>
      <c r="I1429" s="523"/>
    </row>
    <row r="1430" spans="1:9" s="17" customFormat="1" ht="16.5" customHeight="1" x14ac:dyDescent="0.2">
      <c r="A1430" s="192"/>
      <c r="B1430" s="214"/>
      <c r="C1430" s="15"/>
      <c r="D1430" s="537"/>
      <c r="E1430" s="701"/>
      <c r="F1430" s="537"/>
      <c r="G1430" s="192"/>
      <c r="H1430" s="537"/>
      <c r="I1430" s="537"/>
    </row>
    <row r="1431" spans="1:9" s="17" customFormat="1" ht="16.5" customHeight="1" x14ac:dyDescent="0.2">
      <c r="A1431" s="557" t="s">
        <v>48</v>
      </c>
      <c r="B1431" s="793" t="s">
        <v>49</v>
      </c>
      <c r="C1431" s="794"/>
      <c r="D1431" s="380" t="s">
        <v>86</v>
      </c>
      <c r="E1431" s="530" t="s">
        <v>152</v>
      </c>
      <c r="F1431" s="40" t="s">
        <v>87</v>
      </c>
      <c r="G1431" s="744" t="s">
        <v>52</v>
      </c>
      <c r="H1431" s="745"/>
      <c r="I1431" s="708" t="s">
        <v>53</v>
      </c>
    </row>
    <row r="1432" spans="1:9" s="17" customFormat="1" ht="16.5" customHeight="1" x14ac:dyDescent="0.2">
      <c r="A1432" s="574" t="s">
        <v>88</v>
      </c>
      <c r="B1432" s="795"/>
      <c r="C1432" s="796"/>
      <c r="D1432" s="381" t="s">
        <v>541</v>
      </c>
      <c r="E1432" s="41" t="s">
        <v>573</v>
      </c>
      <c r="F1432" s="41" t="s">
        <v>607</v>
      </c>
      <c r="G1432" s="246" t="s">
        <v>55</v>
      </c>
      <c r="H1432" s="24" t="s">
        <v>56</v>
      </c>
      <c r="I1432" s="709"/>
    </row>
    <row r="1433" spans="1:9" s="17" customFormat="1" ht="16.5" customHeight="1" x14ac:dyDescent="0.2">
      <c r="A1433" s="142">
        <v>1</v>
      </c>
      <c r="B1433" s="710">
        <v>2</v>
      </c>
      <c r="C1433" s="711"/>
      <c r="D1433" s="247">
        <v>3</v>
      </c>
      <c r="E1433" s="130">
        <v>4</v>
      </c>
      <c r="F1433" s="130">
        <v>5</v>
      </c>
      <c r="G1433" s="130">
        <v>6</v>
      </c>
      <c r="H1433" s="130">
        <v>7</v>
      </c>
      <c r="I1433" s="248">
        <v>8</v>
      </c>
    </row>
    <row r="1434" spans="1:9" s="17" customFormat="1" ht="16.5" customHeight="1" x14ac:dyDescent="0.2">
      <c r="A1434" s="511">
        <v>111</v>
      </c>
      <c r="B1434" s="716" t="s">
        <v>184</v>
      </c>
      <c r="C1434" s="717"/>
      <c r="D1434" s="102">
        <f>D658</f>
        <v>110190.21</v>
      </c>
      <c r="E1434" s="5">
        <f>E658</f>
        <v>213113.14</v>
      </c>
      <c r="F1434" s="102">
        <f>F658</f>
        <v>144580.20000000001</v>
      </c>
      <c r="G1434" s="249">
        <f t="shared" ref="G1434:G1439" si="116">F1434/D1434</f>
        <v>1.3120966009593775</v>
      </c>
      <c r="H1434" s="144">
        <f t="shared" ref="H1434:H1439" si="117">F1434/E1434</f>
        <v>0.67841992286350805</v>
      </c>
      <c r="I1434" s="250">
        <f>F1434/F1439</f>
        <v>0.3230157376007694</v>
      </c>
    </row>
    <row r="1435" spans="1:9" s="17" customFormat="1" ht="16.5" customHeight="1" x14ac:dyDescent="0.2">
      <c r="A1435" s="519">
        <v>130</v>
      </c>
      <c r="B1435" s="716" t="s">
        <v>185</v>
      </c>
      <c r="C1435" s="717"/>
      <c r="D1435" s="441">
        <f>D868</f>
        <v>33663.519999999997</v>
      </c>
      <c r="E1435" s="102">
        <f>E868</f>
        <v>47500</v>
      </c>
      <c r="F1435" s="441">
        <f>F868</f>
        <v>42415.51</v>
      </c>
      <c r="G1435" s="86">
        <f t="shared" si="116"/>
        <v>1.2599843985418044</v>
      </c>
      <c r="H1435" s="87">
        <f t="shared" si="117"/>
        <v>0.89295810526315789</v>
      </c>
      <c r="I1435" s="87">
        <f>F1435/F1439</f>
        <v>9.4763164308548545E-2</v>
      </c>
    </row>
    <row r="1436" spans="1:9" s="17" customFormat="1" ht="16.5" customHeight="1" x14ac:dyDescent="0.2">
      <c r="A1436" s="81">
        <v>132</v>
      </c>
      <c r="B1436" s="716" t="s">
        <v>186</v>
      </c>
      <c r="C1436" s="717"/>
      <c r="D1436" s="102">
        <v>0</v>
      </c>
      <c r="E1436" s="145">
        <v>0</v>
      </c>
      <c r="F1436" s="102">
        <v>0</v>
      </c>
      <c r="G1436" s="251" t="e">
        <f t="shared" si="116"/>
        <v>#DIV/0!</v>
      </c>
      <c r="H1436" s="252" t="e">
        <f t="shared" si="117"/>
        <v>#DIV/0!</v>
      </c>
      <c r="I1436" s="252">
        <f>F1436/F1439</f>
        <v>0</v>
      </c>
    </row>
    <row r="1437" spans="1:9" s="17" customFormat="1" ht="16.5" customHeight="1" x14ac:dyDescent="0.2">
      <c r="A1437" s="519">
        <v>200</v>
      </c>
      <c r="B1437" s="716" t="s">
        <v>187</v>
      </c>
      <c r="C1437" s="717"/>
      <c r="D1437" s="253">
        <f>D1140</f>
        <v>294445</v>
      </c>
      <c r="E1437" s="156">
        <f>E1140</f>
        <v>290144.11</v>
      </c>
      <c r="F1437" s="253">
        <f>F1140</f>
        <v>260599.2</v>
      </c>
      <c r="G1437" s="209">
        <f t="shared" si="116"/>
        <v>0.88505221688260971</v>
      </c>
      <c r="H1437" s="254">
        <f t="shared" si="117"/>
        <v>0.89817160169131138</v>
      </c>
      <c r="I1437" s="210">
        <f>F1437/F1439</f>
        <v>0.58222109809068201</v>
      </c>
    </row>
    <row r="1438" spans="1:9" s="17" customFormat="1" ht="16.5" customHeight="1" x14ac:dyDescent="0.2">
      <c r="A1438" s="519">
        <v>300</v>
      </c>
      <c r="B1438" s="716" t="s">
        <v>188</v>
      </c>
      <c r="C1438" s="717"/>
      <c r="D1438" s="255">
        <v>0</v>
      </c>
      <c r="E1438" s="5">
        <v>0</v>
      </c>
      <c r="F1438" s="255">
        <v>0</v>
      </c>
      <c r="G1438" s="256" t="e">
        <f t="shared" si="116"/>
        <v>#DIV/0!</v>
      </c>
      <c r="H1438" s="210" t="e">
        <f t="shared" si="117"/>
        <v>#DIV/0!</v>
      </c>
      <c r="I1438" s="210">
        <f>F1438/F1439</f>
        <v>0</v>
      </c>
    </row>
    <row r="1439" spans="1:9" s="17" customFormat="1" ht="16.5" customHeight="1" x14ac:dyDescent="0.2">
      <c r="A1439" s="146"/>
      <c r="B1439" s="718" t="s">
        <v>84</v>
      </c>
      <c r="C1439" s="719"/>
      <c r="D1439" s="448">
        <f>D1434+D1435+D1436+D1437+D1438</f>
        <v>438298.73</v>
      </c>
      <c r="E1439" s="448">
        <f>E1434+E1435+E1436+E1437+E1438</f>
        <v>550757.25</v>
      </c>
      <c r="F1439" s="448">
        <f>F1434+F1435+F1436+F1437+F1438</f>
        <v>447594.91000000003</v>
      </c>
      <c r="G1439" s="148">
        <f t="shared" si="116"/>
        <v>1.0212096895649232</v>
      </c>
      <c r="H1439" s="137">
        <f t="shared" si="117"/>
        <v>0.81269000090330179</v>
      </c>
      <c r="I1439" s="137">
        <f>I1434+I1435+I1436+I1437+I1438</f>
        <v>1</v>
      </c>
    </row>
    <row r="1440" spans="1:9" s="17" customFormat="1" ht="16.5" customHeight="1" x14ac:dyDescent="0.2">
      <c r="A1440" s="170"/>
      <c r="B1440" s="584"/>
      <c r="C1440" s="257"/>
      <c r="D1440" s="257"/>
      <c r="E1440" s="160"/>
      <c r="F1440" s="161"/>
      <c r="G1440" s="258"/>
      <c r="H1440" s="258"/>
      <c r="I1440" s="245"/>
    </row>
    <row r="1441" spans="1:12" s="17" customFormat="1" ht="16.5" customHeight="1" x14ac:dyDescent="0.2">
      <c r="A1441" s="538"/>
      <c r="B1441" s="747" t="s">
        <v>732</v>
      </c>
      <c r="C1441" s="747"/>
      <c r="D1441" s="747"/>
      <c r="E1441" s="747"/>
      <c r="F1441" s="747"/>
      <c r="G1441" s="747"/>
      <c r="H1441" s="747"/>
      <c r="I1441" s="747"/>
    </row>
    <row r="1442" spans="1:12" s="17" customFormat="1" ht="16.5" customHeight="1" x14ac:dyDescent="0.2">
      <c r="A1442" s="747" t="s">
        <v>733</v>
      </c>
      <c r="B1442" s="747"/>
      <c r="C1442" s="747"/>
      <c r="D1442" s="747"/>
      <c r="E1442" s="747"/>
      <c r="F1442" s="747"/>
      <c r="G1442" s="747"/>
      <c r="H1442" s="747"/>
      <c r="I1442" s="747"/>
      <c r="L1442" s="421"/>
    </row>
    <row r="1443" spans="1:12" s="17" customFormat="1" ht="16.5" customHeight="1" x14ac:dyDescent="0.2">
      <c r="A1443" s="724" t="s">
        <v>734</v>
      </c>
      <c r="B1443" s="724"/>
      <c r="C1443" s="724"/>
      <c r="D1443" s="724"/>
      <c r="E1443" s="724"/>
      <c r="F1443" s="724"/>
      <c r="G1443" s="724"/>
      <c r="H1443" s="724"/>
      <c r="I1443" s="724"/>
    </row>
    <row r="1444" spans="1:12" s="17" customFormat="1" ht="16.5" customHeight="1" x14ac:dyDescent="0.2">
      <c r="A1444" s="721" t="s">
        <v>735</v>
      </c>
      <c r="B1444" s="721"/>
      <c r="C1444" s="721"/>
      <c r="D1444" s="721"/>
      <c r="E1444" s="721"/>
      <c r="F1444" s="721"/>
      <c r="G1444" s="721"/>
      <c r="H1444" s="721"/>
      <c r="I1444" s="721"/>
    </row>
    <row r="1445" spans="1:12" s="17" customFormat="1" ht="16.5" customHeight="1" x14ac:dyDescent="0.2">
      <c r="A1445" s="714" t="s">
        <v>736</v>
      </c>
      <c r="B1445" s="714"/>
      <c r="C1445" s="714"/>
      <c r="D1445" s="714"/>
      <c r="E1445" s="714"/>
      <c r="F1445" s="714"/>
      <c r="G1445" s="714"/>
      <c r="H1445" s="714"/>
      <c r="I1445" s="714"/>
    </row>
    <row r="1446" spans="1:12" s="17" customFormat="1" ht="16.5" customHeight="1" x14ac:dyDescent="0.2">
      <c r="A1446" s="721" t="s">
        <v>737</v>
      </c>
      <c r="B1446" s="721"/>
      <c r="C1446" s="721"/>
      <c r="D1446" s="721"/>
      <c r="E1446" s="721"/>
      <c r="F1446" s="721"/>
      <c r="G1446" s="721"/>
      <c r="H1446" s="721"/>
      <c r="I1446" s="721"/>
    </row>
    <row r="1447" spans="1:12" s="17" customFormat="1" ht="16.5" customHeight="1" x14ac:dyDescent="0.25">
      <c r="A1447" s="721" t="s">
        <v>738</v>
      </c>
      <c r="B1447" s="721"/>
      <c r="C1447" s="721"/>
      <c r="D1447" s="721"/>
      <c r="E1447" s="721"/>
      <c r="F1447" s="721"/>
      <c r="G1447" s="721"/>
      <c r="H1447" s="721"/>
      <c r="I1447" s="721"/>
      <c r="K1447" s="521"/>
    </row>
    <row r="1448" spans="1:12" s="17" customFormat="1" ht="16.5" customHeight="1" x14ac:dyDescent="0.25">
      <c r="A1448" s="721" t="s">
        <v>739</v>
      </c>
      <c r="B1448" s="721"/>
      <c r="C1448" s="721"/>
      <c r="D1448" s="721"/>
      <c r="E1448" s="721"/>
      <c r="F1448" s="721"/>
      <c r="G1448" s="721"/>
      <c r="H1448" s="721"/>
      <c r="I1448" s="721"/>
      <c r="K1448" s="521"/>
    </row>
    <row r="1449" spans="1:12" s="17" customFormat="1" ht="16.5" customHeight="1" x14ac:dyDescent="0.25">
      <c r="B1449" s="216" t="s">
        <v>740</v>
      </c>
      <c r="K1449" s="521"/>
    </row>
    <row r="1450" spans="1:12" s="17" customFormat="1" ht="16.5" customHeight="1" x14ac:dyDescent="0.25">
      <c r="A1450" s="537" t="s">
        <v>741</v>
      </c>
      <c r="B1450" s="537"/>
      <c r="C1450" s="537"/>
      <c r="D1450" s="537"/>
      <c r="E1450" s="537"/>
      <c r="F1450" s="537"/>
      <c r="G1450" s="537"/>
      <c r="H1450" s="537"/>
      <c r="I1450" s="537"/>
      <c r="K1450" s="521"/>
    </row>
    <row r="1451" spans="1:12" s="17" customFormat="1" ht="16.5" customHeight="1" x14ac:dyDescent="0.25">
      <c r="A1451" s="537"/>
      <c r="B1451" s="537"/>
      <c r="C1451" s="537"/>
      <c r="D1451" s="537"/>
      <c r="E1451" s="537"/>
      <c r="F1451" s="537"/>
      <c r="G1451" s="537"/>
      <c r="H1451" s="537"/>
      <c r="I1451" s="537"/>
      <c r="K1451" s="397"/>
    </row>
    <row r="1452" spans="1:12" s="17" customFormat="1" ht="16.5" customHeight="1" x14ac:dyDescent="0.25">
      <c r="A1452" s="537"/>
      <c r="B1452" s="537"/>
      <c r="C1452" s="537"/>
      <c r="D1452" s="537"/>
      <c r="E1452" s="537"/>
      <c r="F1452" s="537"/>
      <c r="G1452" s="537"/>
      <c r="H1452" s="537"/>
      <c r="I1452" s="537"/>
      <c r="K1452" s="521"/>
    </row>
    <row r="1453" spans="1:12" s="17" customFormat="1" ht="16.5" customHeight="1" x14ac:dyDescent="0.25">
      <c r="A1453" s="537"/>
      <c r="B1453" s="537"/>
      <c r="C1453" s="537"/>
      <c r="D1453" s="537"/>
      <c r="E1453" s="537"/>
      <c r="F1453" s="537"/>
      <c r="G1453" s="537"/>
      <c r="H1453" s="537"/>
      <c r="I1453" s="537"/>
      <c r="K1453" s="521"/>
    </row>
    <row r="1454" spans="1:12" s="17" customFormat="1" ht="16.5" customHeight="1" x14ac:dyDescent="0.25">
      <c r="A1454" s="537"/>
      <c r="B1454" s="537"/>
      <c r="C1454" s="537"/>
      <c r="D1454" s="537"/>
      <c r="E1454" s="537"/>
      <c r="F1454" s="537"/>
      <c r="G1454" s="537"/>
      <c r="H1454" s="537"/>
      <c r="I1454" s="537"/>
      <c r="K1454" s="521"/>
    </row>
    <row r="1455" spans="1:12" s="17" customFormat="1" ht="16.5" customHeight="1" x14ac:dyDescent="0.25">
      <c r="A1455" s="537"/>
      <c r="B1455" s="537"/>
      <c r="C1455" s="537"/>
      <c r="D1455" s="537"/>
      <c r="E1455" s="537"/>
      <c r="F1455" s="537"/>
      <c r="G1455" s="537"/>
      <c r="H1455" s="537"/>
      <c r="I1455" s="537"/>
      <c r="K1455" s="521"/>
    </row>
    <row r="1456" spans="1:12" s="17" customFormat="1" ht="16.5" customHeight="1" x14ac:dyDescent="0.25">
      <c r="A1456" s="537"/>
      <c r="B1456" s="537"/>
      <c r="C1456" s="537"/>
      <c r="D1456" s="537"/>
      <c r="E1456" s="537"/>
      <c r="F1456" s="537"/>
      <c r="G1456" s="537"/>
      <c r="H1456" s="537"/>
      <c r="I1456" s="537"/>
      <c r="K1456" s="521"/>
      <c r="L1456" s="431"/>
    </row>
    <row r="1457" spans="1:11" s="17" customFormat="1" ht="16.5" customHeight="1" x14ac:dyDescent="0.25">
      <c r="A1457" s="537"/>
      <c r="B1457" s="537"/>
      <c r="C1457" s="537"/>
      <c r="D1457" s="537"/>
      <c r="E1457" s="537"/>
      <c r="F1457" s="537"/>
      <c r="G1457" s="537"/>
      <c r="H1457" s="537"/>
      <c r="I1457" s="537"/>
      <c r="K1457" s="397"/>
    </row>
    <row r="1458" spans="1:11" s="17" customFormat="1" ht="16.5" customHeight="1" x14ac:dyDescent="0.25">
      <c r="A1458" s="537"/>
      <c r="B1458" s="537"/>
      <c r="C1458" s="537"/>
      <c r="D1458" s="537"/>
      <c r="E1458" s="537"/>
      <c r="F1458" s="537"/>
      <c r="G1458" s="537"/>
      <c r="H1458" s="537"/>
      <c r="I1458" s="537"/>
      <c r="K1458" s="521"/>
    </row>
    <row r="1459" spans="1:11" s="17" customFormat="1" ht="16.5" customHeight="1" x14ac:dyDescent="0.25">
      <c r="A1459" s="662"/>
      <c r="B1459" s="662"/>
      <c r="C1459" s="662"/>
      <c r="D1459" s="662"/>
      <c r="E1459" s="662"/>
      <c r="F1459" s="662"/>
      <c r="G1459" s="662"/>
      <c r="H1459" s="662"/>
      <c r="I1459" s="662"/>
      <c r="K1459" s="667"/>
    </row>
    <row r="1460" spans="1:11" s="17" customFormat="1" ht="16.5" customHeight="1" x14ac:dyDescent="0.25">
      <c r="A1460" s="662"/>
      <c r="B1460" s="662"/>
      <c r="C1460" s="662"/>
      <c r="D1460" s="662"/>
      <c r="E1460" s="662"/>
      <c r="F1460" s="662"/>
      <c r="G1460" s="662"/>
      <c r="H1460" s="662"/>
      <c r="I1460" s="662"/>
      <c r="K1460" s="667"/>
    </row>
    <row r="1461" spans="1:11" s="17" customFormat="1" ht="16.5" customHeight="1" x14ac:dyDescent="0.25">
      <c r="A1461" s="662"/>
      <c r="B1461" s="662"/>
      <c r="C1461" s="662"/>
      <c r="D1461" s="662"/>
      <c r="E1461" s="662"/>
      <c r="F1461" s="662"/>
      <c r="G1461" s="662"/>
      <c r="H1461" s="662"/>
      <c r="I1461" s="662"/>
      <c r="K1461" s="667"/>
    </row>
    <row r="1462" spans="1:11" s="17" customFormat="1" ht="16.5" customHeight="1" x14ac:dyDescent="0.25">
      <c r="A1462" s="662"/>
      <c r="B1462" s="662"/>
      <c r="C1462" s="662"/>
      <c r="D1462" s="662"/>
      <c r="E1462" s="662"/>
      <c r="F1462" s="662"/>
      <c r="G1462" s="662"/>
      <c r="H1462" s="662"/>
      <c r="I1462" s="662"/>
      <c r="K1462" s="667"/>
    </row>
    <row r="1463" spans="1:11" s="17" customFormat="1" ht="16.5" customHeight="1" x14ac:dyDescent="0.25">
      <c r="A1463" s="662"/>
      <c r="B1463" s="662"/>
      <c r="C1463" s="662"/>
      <c r="D1463" s="662"/>
      <c r="E1463" s="662"/>
      <c r="F1463" s="662"/>
      <c r="G1463" s="662"/>
      <c r="H1463" s="662"/>
      <c r="I1463" s="662"/>
      <c r="K1463" s="667"/>
    </row>
    <row r="1464" spans="1:11" s="17" customFormat="1" ht="16.5" customHeight="1" x14ac:dyDescent="0.25">
      <c r="A1464" s="662"/>
      <c r="B1464" s="662"/>
      <c r="C1464" s="662"/>
      <c r="D1464" s="662"/>
      <c r="E1464" s="662"/>
      <c r="F1464" s="662"/>
      <c r="G1464" s="662"/>
      <c r="H1464" s="662"/>
      <c r="I1464" s="662"/>
      <c r="K1464" s="667"/>
    </row>
    <row r="1465" spans="1:11" s="17" customFormat="1" ht="16.5" customHeight="1" x14ac:dyDescent="0.25">
      <c r="A1465" s="662"/>
      <c r="B1465" s="662"/>
      <c r="C1465" s="662"/>
      <c r="D1465" s="662"/>
      <c r="E1465" s="662"/>
      <c r="F1465" s="662"/>
      <c r="G1465" s="662"/>
      <c r="H1465" s="662"/>
      <c r="I1465" s="662"/>
      <c r="K1465" s="667"/>
    </row>
    <row r="1466" spans="1:11" s="17" customFormat="1" ht="16.5" customHeight="1" x14ac:dyDescent="0.25">
      <c r="A1466" s="662"/>
      <c r="B1466" s="662"/>
      <c r="C1466" s="662"/>
      <c r="D1466" s="662"/>
      <c r="E1466" s="662"/>
      <c r="F1466" s="662"/>
      <c r="G1466" s="662"/>
      <c r="H1466" s="662"/>
      <c r="I1466" s="662"/>
      <c r="K1466" s="667"/>
    </row>
    <row r="1467" spans="1:11" s="17" customFormat="1" ht="16.5" customHeight="1" x14ac:dyDescent="0.25">
      <c r="A1467" s="662"/>
      <c r="B1467" s="662"/>
      <c r="C1467" s="662"/>
      <c r="D1467" s="662"/>
      <c r="E1467" s="662"/>
      <c r="F1467" s="662"/>
      <c r="G1467" s="662"/>
      <c r="H1467" s="662"/>
      <c r="I1467" s="662"/>
      <c r="K1467" s="667"/>
    </row>
    <row r="1468" spans="1:11" s="17" customFormat="1" ht="16.5" customHeight="1" x14ac:dyDescent="0.25">
      <c r="A1468" s="662"/>
      <c r="B1468" s="662"/>
      <c r="C1468" s="662"/>
      <c r="D1468" s="662"/>
      <c r="E1468" s="662"/>
      <c r="F1468" s="662"/>
      <c r="G1468" s="662"/>
      <c r="H1468" s="662"/>
      <c r="I1468" s="662"/>
      <c r="K1468" s="667"/>
    </row>
    <row r="1469" spans="1:11" s="17" customFormat="1" ht="16.5" customHeight="1" x14ac:dyDescent="0.25">
      <c r="A1469" s="662"/>
      <c r="B1469" s="662"/>
      <c r="C1469" s="662"/>
      <c r="D1469" s="662"/>
      <c r="E1469" s="662"/>
      <c r="F1469" s="662"/>
      <c r="G1469" s="662"/>
      <c r="H1469" s="662"/>
      <c r="I1469" s="662"/>
      <c r="K1469" s="667"/>
    </row>
    <row r="1470" spans="1:11" s="17" customFormat="1" ht="16.5" customHeight="1" x14ac:dyDescent="0.25">
      <c r="A1470" s="662"/>
      <c r="B1470" s="662"/>
      <c r="C1470" s="662"/>
      <c r="D1470" s="662"/>
      <c r="E1470" s="662"/>
      <c r="F1470" s="662"/>
      <c r="G1470" s="662"/>
      <c r="H1470" s="662"/>
      <c r="I1470" s="662"/>
      <c r="K1470" s="667"/>
    </row>
    <row r="1471" spans="1:11" s="17" customFormat="1" ht="16.5" customHeight="1" x14ac:dyDescent="0.25">
      <c r="A1471" s="662"/>
      <c r="B1471" s="662"/>
      <c r="C1471" s="662"/>
      <c r="D1471" s="662"/>
      <c r="E1471" s="662"/>
      <c r="F1471" s="662"/>
      <c r="G1471" s="662"/>
      <c r="H1471" s="662"/>
      <c r="I1471" s="662"/>
      <c r="K1471" s="667"/>
    </row>
    <row r="1472" spans="1:11" s="17" customFormat="1" ht="16.5" customHeight="1" x14ac:dyDescent="0.25">
      <c r="A1472" s="662"/>
      <c r="B1472" s="662"/>
      <c r="C1472" s="662"/>
      <c r="D1472" s="662"/>
      <c r="E1472" s="662"/>
      <c r="F1472" s="662"/>
      <c r="G1472" s="662"/>
      <c r="H1472" s="662"/>
      <c r="I1472" s="662"/>
      <c r="K1472" s="667"/>
    </row>
    <row r="1473" spans="1:11" s="17" customFormat="1" ht="16.5" customHeight="1" x14ac:dyDescent="0.25">
      <c r="A1473" s="662"/>
      <c r="B1473" s="662"/>
      <c r="C1473" s="662"/>
      <c r="D1473" s="662"/>
      <c r="E1473" s="662"/>
      <c r="F1473" s="662"/>
      <c r="G1473" s="662"/>
      <c r="H1473" s="662"/>
      <c r="I1473" s="662"/>
      <c r="K1473" s="667"/>
    </row>
    <row r="1474" spans="1:11" s="17" customFormat="1" ht="16.5" customHeight="1" x14ac:dyDescent="0.25">
      <c r="A1474" s="662"/>
      <c r="B1474" s="662"/>
      <c r="C1474" s="662"/>
      <c r="D1474" s="662"/>
      <c r="E1474" s="662"/>
      <c r="F1474" s="662"/>
      <c r="G1474" s="662"/>
      <c r="H1474" s="662"/>
      <c r="I1474" s="662"/>
      <c r="K1474" s="667"/>
    </row>
    <row r="1475" spans="1:11" s="17" customFormat="1" ht="16.5" customHeight="1" x14ac:dyDescent="0.25">
      <c r="A1475" s="662"/>
      <c r="B1475" s="662"/>
      <c r="C1475" s="662"/>
      <c r="D1475" s="662"/>
      <c r="E1475" s="662"/>
      <c r="F1475" s="662"/>
      <c r="G1475" s="662"/>
      <c r="H1475" s="662"/>
      <c r="I1475" s="662"/>
      <c r="K1475" s="667"/>
    </row>
    <row r="1476" spans="1:11" s="17" customFormat="1" ht="16.5" customHeight="1" x14ac:dyDescent="0.25">
      <c r="A1476" s="662"/>
      <c r="B1476" s="662"/>
      <c r="C1476" s="662"/>
      <c r="D1476" s="662"/>
      <c r="E1476" s="662"/>
      <c r="F1476" s="662"/>
      <c r="G1476" s="662"/>
      <c r="H1476" s="662"/>
      <c r="I1476" s="662"/>
      <c r="K1476" s="667"/>
    </row>
    <row r="1477" spans="1:11" s="17" customFormat="1" ht="16.5" customHeight="1" x14ac:dyDescent="0.25">
      <c r="A1477" s="662"/>
      <c r="B1477" s="662"/>
      <c r="C1477" s="662"/>
      <c r="D1477" s="662"/>
      <c r="E1477" s="662"/>
      <c r="F1477" s="662"/>
      <c r="G1477" s="662"/>
      <c r="H1477" s="662"/>
      <c r="I1477" s="662"/>
      <c r="K1477" s="667"/>
    </row>
    <row r="1478" spans="1:11" s="17" customFormat="1" ht="16.5" customHeight="1" x14ac:dyDescent="0.25">
      <c r="A1478" s="662"/>
      <c r="B1478" s="662"/>
      <c r="C1478" s="662"/>
      <c r="D1478" s="662"/>
      <c r="E1478" s="662"/>
      <c r="F1478" s="662"/>
      <c r="G1478" s="662"/>
      <c r="H1478" s="662"/>
      <c r="I1478" s="662"/>
      <c r="K1478" s="667"/>
    </row>
    <row r="1479" spans="1:11" s="17" customFormat="1" ht="16.5" customHeight="1" x14ac:dyDescent="0.25">
      <c r="A1479" s="662"/>
      <c r="B1479" s="662"/>
      <c r="C1479" s="662"/>
      <c r="D1479" s="662"/>
      <c r="E1479" s="662"/>
      <c r="F1479" s="662"/>
      <c r="G1479" s="662"/>
      <c r="H1479" s="662"/>
      <c r="I1479" s="662"/>
      <c r="K1479" s="667"/>
    </row>
    <row r="1480" spans="1:11" s="17" customFormat="1" ht="16.5" customHeight="1" x14ac:dyDescent="0.25">
      <c r="A1480" s="537"/>
      <c r="B1480" s="537"/>
      <c r="C1480" s="537"/>
      <c r="D1480" s="537"/>
      <c r="E1480" s="537"/>
      <c r="F1480" s="537"/>
      <c r="G1480" s="537"/>
      <c r="H1480" s="537"/>
      <c r="I1480" s="418">
        <v>24</v>
      </c>
      <c r="K1480" s="521"/>
    </row>
    <row r="1481" spans="1:11" s="17" customFormat="1" ht="16.5" customHeight="1" x14ac:dyDescent="0.25">
      <c r="A1481" s="537"/>
      <c r="B1481" s="537"/>
      <c r="C1481" s="537"/>
      <c r="D1481" s="537"/>
      <c r="E1481" s="537"/>
      <c r="F1481" s="537"/>
      <c r="G1481" s="537"/>
      <c r="H1481" s="537"/>
      <c r="I1481" s="537"/>
      <c r="K1481" s="521"/>
    </row>
    <row r="1482" spans="1:11" s="17" customFormat="1" ht="16.5" customHeight="1" x14ac:dyDescent="0.25">
      <c r="A1482" s="537"/>
      <c r="B1482" s="537"/>
      <c r="C1482" s="537"/>
      <c r="D1482" s="537"/>
      <c r="E1482" s="537"/>
      <c r="F1482" s="537"/>
      <c r="G1482" s="537"/>
      <c r="H1482" s="537"/>
      <c r="I1482" s="418"/>
      <c r="K1482" s="397"/>
    </row>
    <row r="1483" spans="1:11" s="17" customFormat="1" ht="16.5" customHeight="1" x14ac:dyDescent="0.25">
      <c r="A1483" s="537"/>
      <c r="B1483" s="7" t="s">
        <v>320</v>
      </c>
      <c r="C1483" s="259"/>
      <c r="D1483" s="259"/>
      <c r="E1483" s="259"/>
      <c r="F1483" s="541"/>
      <c r="G1483" s="541"/>
      <c r="H1483" s="260"/>
      <c r="I1483" s="245"/>
      <c r="K1483" s="397"/>
    </row>
    <row r="1484" spans="1:11" s="17" customFormat="1" ht="16.5" customHeight="1" x14ac:dyDescent="0.25">
      <c r="A1484" s="540"/>
      <c r="B1484" s="540"/>
      <c r="C1484" s="540"/>
      <c r="D1484" s="540"/>
      <c r="E1484" s="540"/>
      <c r="F1484" s="541"/>
      <c r="G1484" s="541"/>
      <c r="H1484" s="260"/>
      <c r="I1484" s="245"/>
      <c r="K1484" s="521"/>
    </row>
    <row r="1485" spans="1:11" s="17" customFormat="1" ht="16.5" customHeight="1" x14ac:dyDescent="0.25">
      <c r="A1485" s="524"/>
      <c r="B1485" s="720" t="s">
        <v>742</v>
      </c>
      <c r="C1485" s="720"/>
      <c r="D1485" s="720"/>
      <c r="E1485" s="720"/>
      <c r="F1485" s="720"/>
      <c r="G1485" s="720"/>
      <c r="H1485" s="720"/>
      <c r="I1485" s="720"/>
      <c r="K1485" s="521"/>
    </row>
    <row r="1486" spans="1:11" s="17" customFormat="1" ht="16.5" customHeight="1" x14ac:dyDescent="0.25">
      <c r="A1486" s="720" t="s">
        <v>743</v>
      </c>
      <c r="B1486" s="720"/>
      <c r="C1486" s="720"/>
      <c r="D1486" s="720"/>
      <c r="E1486" s="720"/>
      <c r="F1486" s="720"/>
      <c r="G1486" s="720"/>
      <c r="H1486" s="720"/>
      <c r="I1486" s="720"/>
      <c r="K1486" s="521"/>
    </row>
    <row r="1487" spans="1:11" s="17" customFormat="1" ht="16.5" customHeight="1" x14ac:dyDescent="0.25">
      <c r="A1487" s="720" t="s">
        <v>744</v>
      </c>
      <c r="B1487" s="720"/>
      <c r="C1487" s="720"/>
      <c r="D1487" s="720"/>
      <c r="E1487" s="720"/>
      <c r="F1487" s="720"/>
      <c r="G1487" s="720"/>
      <c r="H1487" s="720"/>
      <c r="I1487" s="720"/>
      <c r="K1487" s="521"/>
    </row>
    <row r="1488" spans="1:11" s="17" customFormat="1" ht="16.5" customHeight="1" x14ac:dyDescent="0.25">
      <c r="A1488" s="720" t="s">
        <v>419</v>
      </c>
      <c r="B1488" s="720"/>
      <c r="C1488" s="720"/>
      <c r="D1488" s="720"/>
      <c r="E1488" s="720"/>
      <c r="F1488" s="720"/>
      <c r="G1488" s="720"/>
      <c r="H1488" s="720"/>
      <c r="I1488" s="720"/>
      <c r="K1488" s="521"/>
    </row>
    <row r="1489" spans="1:11" s="17" customFormat="1" ht="16.5" customHeight="1" x14ac:dyDescent="0.25">
      <c r="A1489" s="523"/>
      <c r="B1489" s="523"/>
      <c r="C1489" s="523"/>
      <c r="D1489" s="523"/>
      <c r="E1489" s="701" t="s">
        <v>85</v>
      </c>
      <c r="F1489" s="523"/>
      <c r="G1489" s="523"/>
      <c r="H1489" s="523"/>
      <c r="I1489" s="523"/>
      <c r="K1489" s="521"/>
    </row>
    <row r="1490" spans="1:11" s="17" customFormat="1" ht="16.5" customHeight="1" x14ac:dyDescent="0.25">
      <c r="A1490" s="192"/>
      <c r="B1490" s="214"/>
      <c r="C1490" s="15"/>
      <c r="D1490" s="537"/>
      <c r="E1490" s="701"/>
      <c r="F1490" s="537"/>
      <c r="G1490" s="192"/>
      <c r="H1490" s="537"/>
      <c r="I1490" s="537"/>
      <c r="K1490" s="521"/>
    </row>
    <row r="1491" spans="1:11" s="17" customFormat="1" ht="16.5" customHeight="1" x14ac:dyDescent="0.25">
      <c r="A1491" s="557" t="s">
        <v>48</v>
      </c>
      <c r="B1491" s="702" t="s">
        <v>49</v>
      </c>
      <c r="C1491" s="703"/>
      <c r="D1491" s="380" t="s">
        <v>86</v>
      </c>
      <c r="E1491" s="530" t="s">
        <v>321</v>
      </c>
      <c r="F1491" s="40" t="s">
        <v>87</v>
      </c>
      <c r="G1491" s="706" t="s">
        <v>52</v>
      </c>
      <c r="H1491" s="707"/>
      <c r="I1491" s="708" t="s">
        <v>53</v>
      </c>
      <c r="K1491" s="521"/>
    </row>
    <row r="1492" spans="1:11" s="17" customFormat="1" ht="16.5" customHeight="1" x14ac:dyDescent="0.25">
      <c r="A1492" s="574" t="s">
        <v>88</v>
      </c>
      <c r="B1492" s="704"/>
      <c r="C1492" s="705"/>
      <c r="D1492" s="381" t="s">
        <v>541</v>
      </c>
      <c r="E1492" s="41" t="s">
        <v>573</v>
      </c>
      <c r="F1492" s="41" t="s">
        <v>607</v>
      </c>
      <c r="G1492" s="24" t="s">
        <v>55</v>
      </c>
      <c r="H1492" s="24" t="s">
        <v>56</v>
      </c>
      <c r="I1492" s="709"/>
      <c r="K1492" s="521"/>
    </row>
    <row r="1493" spans="1:11" s="17" customFormat="1" ht="16.5" customHeight="1" x14ac:dyDescent="0.25">
      <c r="A1493" s="132">
        <v>1</v>
      </c>
      <c r="B1493" s="710">
        <v>2</v>
      </c>
      <c r="C1493" s="711"/>
      <c r="D1493" s="131">
        <v>3</v>
      </c>
      <c r="E1493" s="131">
        <v>4</v>
      </c>
      <c r="F1493" s="131">
        <v>5</v>
      </c>
      <c r="G1493" s="131">
        <v>6</v>
      </c>
      <c r="H1493" s="131">
        <v>7</v>
      </c>
      <c r="I1493" s="132">
        <v>8</v>
      </c>
      <c r="K1493" s="521"/>
    </row>
    <row r="1494" spans="1:11" s="17" customFormat="1" ht="16.5" customHeight="1" x14ac:dyDescent="0.25">
      <c r="A1494" s="59">
        <v>50013</v>
      </c>
      <c r="B1494" s="786" t="s">
        <v>90</v>
      </c>
      <c r="C1494" s="787"/>
      <c r="D1494" s="60">
        <f t="shared" ref="D1494:F1501" si="118">D254</f>
        <v>13486</v>
      </c>
      <c r="E1494" s="375">
        <f t="shared" si="118"/>
        <v>14000</v>
      </c>
      <c r="F1494" s="60">
        <f t="shared" si="118"/>
        <v>10975</v>
      </c>
      <c r="G1494" s="261">
        <f>F1494/D1494</f>
        <v>0.81380691087053236</v>
      </c>
      <c r="H1494" s="63">
        <f t="shared" ref="H1494:H1503" si="119">F1494/E1494</f>
        <v>0.78392857142857142</v>
      </c>
      <c r="I1494" s="64">
        <f>F1494/F1502</f>
        <v>0.10087858584308072</v>
      </c>
      <c r="K1494" s="521"/>
    </row>
    <row r="1495" spans="1:11" s="17" customFormat="1" ht="16.5" customHeight="1" x14ac:dyDescent="0.25">
      <c r="A1495" s="59">
        <v>50014</v>
      </c>
      <c r="B1495" s="782" t="s">
        <v>91</v>
      </c>
      <c r="C1495" s="783"/>
      <c r="D1495" s="60">
        <f t="shared" si="118"/>
        <v>4893</v>
      </c>
      <c r="E1495" s="61">
        <f t="shared" si="118"/>
        <v>10000</v>
      </c>
      <c r="F1495" s="60">
        <f t="shared" si="118"/>
        <v>5820</v>
      </c>
      <c r="G1495" s="262">
        <f>F1495/D1495</f>
        <v>1.1894543225015328</v>
      </c>
      <c r="H1495" s="63">
        <f t="shared" si="119"/>
        <v>0.58199999999999996</v>
      </c>
      <c r="I1495" s="64">
        <f>F1495/F1502</f>
        <v>5.3495523426581301E-2</v>
      </c>
      <c r="K1495" s="521"/>
    </row>
    <row r="1496" spans="1:11" s="17" customFormat="1" ht="16.5" customHeight="1" x14ac:dyDescent="0.25">
      <c r="A1496" s="59">
        <v>50015</v>
      </c>
      <c r="B1496" s="782" t="s">
        <v>92</v>
      </c>
      <c r="C1496" s="783"/>
      <c r="D1496" s="60">
        <f t="shared" si="118"/>
        <v>4349</v>
      </c>
      <c r="E1496" s="61">
        <f t="shared" si="118"/>
        <v>5000</v>
      </c>
      <c r="F1496" s="60">
        <f t="shared" si="118"/>
        <v>3552</v>
      </c>
      <c r="G1496" s="262">
        <f>F1496/D1496</f>
        <v>0.81673948034030808</v>
      </c>
      <c r="H1496" s="63">
        <f t="shared" si="119"/>
        <v>0.71040000000000003</v>
      </c>
      <c r="I1496" s="64">
        <f>F1496/F1502</f>
        <v>3.264881429745993E-2</v>
      </c>
      <c r="K1496" s="521"/>
    </row>
    <row r="1497" spans="1:11" s="17" customFormat="1" ht="16.5" customHeight="1" x14ac:dyDescent="0.25">
      <c r="A1497" s="59">
        <v>50016</v>
      </c>
      <c r="B1497" s="782" t="s">
        <v>322</v>
      </c>
      <c r="C1497" s="783"/>
      <c r="D1497" s="60">
        <f t="shared" si="118"/>
        <v>95084</v>
      </c>
      <c r="E1497" s="61">
        <f t="shared" si="118"/>
        <v>135000</v>
      </c>
      <c r="F1497" s="60">
        <f t="shared" si="118"/>
        <v>77412</v>
      </c>
      <c r="G1497" s="262">
        <f>F1497/D1497</f>
        <v>0.81414328383324219</v>
      </c>
      <c r="H1497" s="63">
        <f t="shared" si="119"/>
        <v>0.57342222222222228</v>
      </c>
      <c r="I1497" s="64">
        <f>F1497/F1502</f>
        <v>0.71154561159768248</v>
      </c>
      <c r="K1497" s="521"/>
    </row>
    <row r="1498" spans="1:11" s="17" customFormat="1" ht="16.5" customHeight="1" x14ac:dyDescent="0.25">
      <c r="A1498" s="59">
        <v>50017</v>
      </c>
      <c r="B1498" s="788" t="s">
        <v>420</v>
      </c>
      <c r="C1498" s="789"/>
      <c r="D1498" s="60">
        <f t="shared" si="118"/>
        <v>3202.5</v>
      </c>
      <c r="E1498" s="61">
        <f t="shared" si="118"/>
        <v>3500</v>
      </c>
      <c r="F1498" s="60">
        <f t="shared" si="118"/>
        <v>3695</v>
      </c>
      <c r="G1498" s="262">
        <f>F1498/D1498</f>
        <v>1.1537861046057767</v>
      </c>
      <c r="H1498" s="63">
        <f t="shared" si="119"/>
        <v>1.0557142857142856</v>
      </c>
      <c r="I1498" s="64">
        <f>F1498/F1502</f>
        <v>3.3963223206394832E-2</v>
      </c>
      <c r="K1498" s="521"/>
    </row>
    <row r="1499" spans="1:11" s="17" customFormat="1" ht="16.5" customHeight="1" x14ac:dyDescent="0.25">
      <c r="A1499" s="59">
        <v>50018</v>
      </c>
      <c r="B1499" s="782" t="s">
        <v>94</v>
      </c>
      <c r="C1499" s="783"/>
      <c r="D1499" s="60">
        <f t="shared" si="118"/>
        <v>4822</v>
      </c>
      <c r="E1499" s="61">
        <f t="shared" si="118"/>
        <v>7000</v>
      </c>
      <c r="F1499" s="60">
        <f t="shared" si="118"/>
        <v>3760</v>
      </c>
      <c r="G1499" s="262">
        <f>F1499/D1500</f>
        <v>1.0764385914686516</v>
      </c>
      <c r="H1499" s="63">
        <f t="shared" si="119"/>
        <v>0.53714285714285714</v>
      </c>
      <c r="I1499" s="64">
        <f>F1499/F1502</f>
        <v>3.4560681801365241E-2</v>
      </c>
      <c r="K1499" s="521"/>
    </row>
    <row r="1500" spans="1:11" s="17" customFormat="1" ht="16.5" customHeight="1" x14ac:dyDescent="0.25">
      <c r="A1500" s="59">
        <v>50019</v>
      </c>
      <c r="B1500" s="782" t="s">
        <v>95</v>
      </c>
      <c r="C1500" s="783"/>
      <c r="D1500" s="60">
        <f t="shared" si="118"/>
        <v>3493</v>
      </c>
      <c r="E1500" s="61">
        <f t="shared" si="118"/>
        <v>5500</v>
      </c>
      <c r="F1500" s="60">
        <f t="shared" si="118"/>
        <v>3008</v>
      </c>
      <c r="G1500" s="262">
        <f>F1500/D1500</f>
        <v>0.86115087317492123</v>
      </c>
      <c r="H1500" s="63">
        <f t="shared" si="119"/>
        <v>0.5469090909090909</v>
      </c>
      <c r="I1500" s="64">
        <f>F1500/F1502</f>
        <v>2.7648545441092194E-2</v>
      </c>
      <c r="K1500" s="521"/>
    </row>
    <row r="1501" spans="1:11" s="17" customFormat="1" ht="16.5" customHeight="1" x14ac:dyDescent="0.25">
      <c r="A1501" s="59">
        <v>50025</v>
      </c>
      <c r="B1501" s="782" t="s">
        <v>96</v>
      </c>
      <c r="C1501" s="783"/>
      <c r="D1501" s="60">
        <f t="shared" si="118"/>
        <v>0</v>
      </c>
      <c r="E1501" s="61">
        <f t="shared" si="118"/>
        <v>0</v>
      </c>
      <c r="F1501" s="60">
        <f t="shared" si="118"/>
        <v>572.15</v>
      </c>
      <c r="G1501" s="262" t="e">
        <f>F1501/D1501</f>
        <v>#DIV/0!</v>
      </c>
      <c r="H1501" s="63" t="e">
        <f t="shared" si="119"/>
        <v>#DIV/0!</v>
      </c>
      <c r="I1501" s="64">
        <f>F1501/F1502</f>
        <v>5.2590143863433837E-3</v>
      </c>
      <c r="K1501" s="521"/>
    </row>
    <row r="1502" spans="1:11" s="17" customFormat="1" ht="16.5" customHeight="1" x14ac:dyDescent="0.25">
      <c r="A1502" s="531"/>
      <c r="B1502" s="784" t="s">
        <v>323</v>
      </c>
      <c r="C1502" s="785"/>
      <c r="D1502" s="68">
        <f>SUM(D1494:D1501)</f>
        <v>129329.5</v>
      </c>
      <c r="E1502" s="376">
        <f>E1494+E1495+E1496+E1497+E1498+E1499+E1500+E1501</f>
        <v>180000</v>
      </c>
      <c r="F1502" s="374">
        <f>SUM(F1494:F1501)</f>
        <v>108794.15</v>
      </c>
      <c r="G1502" s="263">
        <f>F1502/D1502</f>
        <v>0.84121681441589113</v>
      </c>
      <c r="H1502" s="264">
        <f t="shared" si="119"/>
        <v>0.60441194444444446</v>
      </c>
      <c r="I1502" s="265">
        <f>I1494+I1495+I1496+I1497+I1498+I1499+I1500+I1501</f>
        <v>1.0000000000000002</v>
      </c>
      <c r="K1502" s="521"/>
    </row>
    <row r="1503" spans="1:11" s="17" customFormat="1" ht="16.5" customHeight="1" x14ac:dyDescent="0.25">
      <c r="A1503" s="131"/>
      <c r="B1503" s="718" t="s">
        <v>84</v>
      </c>
      <c r="C1503" s="719"/>
      <c r="D1503" s="481">
        <f>D1502</f>
        <v>129329.5</v>
      </c>
      <c r="E1503" s="481">
        <f>E1502</f>
        <v>180000</v>
      </c>
      <c r="F1503" s="481">
        <f>F1502</f>
        <v>108794.15</v>
      </c>
      <c r="G1503" s="148">
        <f>F1503/D1503</f>
        <v>0.84121681441589113</v>
      </c>
      <c r="H1503" s="137">
        <f t="shared" si="119"/>
        <v>0.60441194444444446</v>
      </c>
      <c r="I1503" s="169">
        <f>I1502</f>
        <v>1.0000000000000002</v>
      </c>
      <c r="K1503" s="521"/>
    </row>
    <row r="1504" spans="1:11" s="17" customFormat="1" ht="16.5" customHeight="1" x14ac:dyDescent="0.25">
      <c r="A1504" s="242"/>
      <c r="B1504" s="242"/>
      <c r="C1504" s="242"/>
      <c r="D1504" s="242"/>
      <c r="E1504" s="242"/>
      <c r="F1504" s="242"/>
      <c r="G1504" s="242"/>
      <c r="H1504" s="242"/>
      <c r="I1504" s="216"/>
      <c r="K1504" s="521"/>
    </row>
    <row r="1505" spans="1:11" s="17" customFormat="1" ht="16.5" customHeight="1" x14ac:dyDescent="0.25">
      <c r="A1505" s="242"/>
      <c r="B1505" s="242"/>
      <c r="C1505" s="242"/>
      <c r="D1505" s="242"/>
      <c r="E1505" s="242"/>
      <c r="F1505" s="242"/>
      <c r="G1505" s="242"/>
      <c r="H1505" s="242"/>
      <c r="I1505" s="216"/>
      <c r="K1505" s="521"/>
    </row>
    <row r="1506" spans="1:11" s="17" customFormat="1" ht="16.5" customHeight="1" x14ac:dyDescent="0.25">
      <c r="A1506" s="242"/>
      <c r="B1506" s="242"/>
      <c r="C1506" s="242"/>
      <c r="D1506" s="242"/>
      <c r="E1506" s="242"/>
      <c r="F1506" s="242"/>
      <c r="G1506" s="242"/>
      <c r="H1506" s="242"/>
      <c r="I1506" s="216"/>
      <c r="K1506" s="521"/>
    </row>
    <row r="1507" spans="1:11" s="17" customFormat="1" ht="16.5" customHeight="1" x14ac:dyDescent="0.2">
      <c r="A1507" s="550" t="s">
        <v>422</v>
      </c>
      <c r="B1507" s="742" t="s">
        <v>745</v>
      </c>
      <c r="C1507" s="742"/>
      <c r="D1507" s="742"/>
      <c r="E1507" s="742"/>
      <c r="F1507" s="742"/>
      <c r="G1507" s="742"/>
      <c r="H1507" s="742"/>
      <c r="I1507" s="742"/>
      <c r="K1507" s="516"/>
    </row>
    <row r="1508" spans="1:11" s="17" customFormat="1" ht="16.5" customHeight="1" x14ac:dyDescent="0.25">
      <c r="A1508" s="748" t="s">
        <v>746</v>
      </c>
      <c r="B1508" s="748"/>
      <c r="C1508" s="748"/>
      <c r="D1508" s="748"/>
      <c r="E1508" s="748"/>
      <c r="F1508" s="748"/>
      <c r="G1508" s="748"/>
      <c r="H1508" s="748"/>
      <c r="I1508" s="748"/>
      <c r="K1508" s="521"/>
    </row>
    <row r="1509" spans="1:11" s="17" customFormat="1" ht="16.5" customHeight="1" x14ac:dyDescent="0.25">
      <c r="A1509" s="742" t="s">
        <v>747</v>
      </c>
      <c r="B1509" s="742"/>
      <c r="C1509" s="742"/>
      <c r="D1509" s="742"/>
      <c r="E1509" s="742"/>
      <c r="F1509" s="742"/>
      <c r="G1509" s="742"/>
      <c r="H1509" s="742"/>
      <c r="I1509" s="742"/>
      <c r="K1509" s="521"/>
    </row>
    <row r="1510" spans="1:11" s="17" customFormat="1" ht="16.5" customHeight="1" x14ac:dyDescent="0.25">
      <c r="A1510" s="742" t="s">
        <v>748</v>
      </c>
      <c r="B1510" s="742"/>
      <c r="C1510" s="742"/>
      <c r="D1510" s="742"/>
      <c r="E1510" s="742"/>
      <c r="F1510" s="742"/>
      <c r="G1510" s="742"/>
      <c r="H1510" s="742"/>
      <c r="I1510" s="742"/>
      <c r="K1510" s="521"/>
    </row>
    <row r="1511" spans="1:11" s="17" customFormat="1" ht="16.5" customHeight="1" x14ac:dyDescent="0.25">
      <c r="A1511" s="527"/>
      <c r="B1511" s="527"/>
      <c r="C1511" s="527"/>
      <c r="D1511" s="527"/>
      <c r="E1511" s="527"/>
      <c r="F1511" s="527"/>
      <c r="G1511" s="527"/>
      <c r="H1511" s="527"/>
      <c r="I1511" s="527"/>
      <c r="K1511" s="521"/>
    </row>
    <row r="1512" spans="1:11" s="17" customFormat="1" ht="16.5" customHeight="1" x14ac:dyDescent="0.25">
      <c r="A1512" s="743" t="s">
        <v>483</v>
      </c>
      <c r="B1512" s="743"/>
      <c r="C1512" s="743"/>
      <c r="D1512" s="743"/>
      <c r="E1512" s="743"/>
      <c r="F1512" s="743"/>
      <c r="G1512" s="743"/>
      <c r="H1512" s="743"/>
      <c r="I1512" s="743"/>
      <c r="K1512" s="521"/>
    </row>
    <row r="1513" spans="1:11" s="17" customFormat="1" ht="16.5" customHeight="1" x14ac:dyDescent="0.25">
      <c r="A1513" s="523"/>
      <c r="B1513" s="523"/>
      <c r="C1513" s="523"/>
      <c r="D1513" s="523"/>
      <c r="E1513" s="701" t="s">
        <v>85</v>
      </c>
      <c r="F1513" s="523"/>
      <c r="G1513" s="523"/>
      <c r="H1513" s="523"/>
      <c r="I1513" s="523"/>
      <c r="K1513" s="521"/>
    </row>
    <row r="1514" spans="1:11" s="17" customFormat="1" ht="16.5" customHeight="1" x14ac:dyDescent="0.25">
      <c r="A1514" s="192"/>
      <c r="B1514" s="214"/>
      <c r="C1514" s="15"/>
      <c r="D1514" s="537"/>
      <c r="E1514" s="701"/>
      <c r="F1514" s="537"/>
      <c r="G1514" s="192"/>
      <c r="H1514" s="537"/>
      <c r="I1514" s="537"/>
      <c r="K1514" s="521"/>
    </row>
    <row r="1515" spans="1:11" s="17" customFormat="1" ht="16.5" customHeight="1" x14ac:dyDescent="0.25">
      <c r="A1515" s="557" t="s">
        <v>48</v>
      </c>
      <c r="B1515" s="702" t="s">
        <v>49</v>
      </c>
      <c r="C1515" s="703"/>
      <c r="D1515" s="380" t="s">
        <v>86</v>
      </c>
      <c r="E1515" s="530" t="s">
        <v>152</v>
      </c>
      <c r="F1515" s="40" t="s">
        <v>87</v>
      </c>
      <c r="G1515" s="706" t="s">
        <v>52</v>
      </c>
      <c r="H1515" s="707"/>
      <c r="I1515" s="708" t="s">
        <v>53</v>
      </c>
      <c r="K1515" s="521"/>
    </row>
    <row r="1516" spans="1:11" s="17" customFormat="1" ht="16.5" customHeight="1" x14ac:dyDescent="0.25">
      <c r="A1516" s="574" t="s">
        <v>88</v>
      </c>
      <c r="B1516" s="704"/>
      <c r="C1516" s="705"/>
      <c r="D1516" s="381" t="s">
        <v>541</v>
      </c>
      <c r="E1516" s="41" t="s">
        <v>573</v>
      </c>
      <c r="F1516" s="41" t="s">
        <v>607</v>
      </c>
      <c r="G1516" s="24" t="s">
        <v>55</v>
      </c>
      <c r="H1516" s="24" t="s">
        <v>56</v>
      </c>
      <c r="I1516" s="709"/>
      <c r="K1516" s="521"/>
    </row>
    <row r="1517" spans="1:11" s="17" customFormat="1" ht="16.5" customHeight="1" x14ac:dyDescent="0.25">
      <c r="A1517" s="142">
        <v>1</v>
      </c>
      <c r="B1517" s="710">
        <v>2</v>
      </c>
      <c r="C1517" s="711"/>
      <c r="D1517" s="129">
        <v>3</v>
      </c>
      <c r="E1517" s="129">
        <v>4</v>
      </c>
      <c r="F1517" s="129">
        <v>5</v>
      </c>
      <c r="G1517" s="129">
        <v>6</v>
      </c>
      <c r="H1517" s="129">
        <v>7</v>
      </c>
      <c r="I1517" s="142">
        <v>8</v>
      </c>
      <c r="K1517" s="521"/>
    </row>
    <row r="1518" spans="1:11" s="17" customFormat="1" ht="16.5" customHeight="1" x14ac:dyDescent="0.25">
      <c r="A1518" s="81">
        <v>111</v>
      </c>
      <c r="B1518" s="716" t="s">
        <v>184</v>
      </c>
      <c r="C1518" s="717"/>
      <c r="D1518" s="5">
        <f>D660</f>
        <v>250039.04000000001</v>
      </c>
      <c r="E1518" s="452">
        <f>E660</f>
        <v>403350.19</v>
      </c>
      <c r="F1518" s="5">
        <f>F660</f>
        <v>288675.68</v>
      </c>
      <c r="G1518" s="84">
        <f t="shared" ref="G1518:G1523" si="120">F1518/D1518</f>
        <v>1.154522429777366</v>
      </c>
      <c r="H1518" s="85">
        <f t="shared" ref="H1518:H1523" si="121">F1518/E1518</f>
        <v>0.71569491513069572</v>
      </c>
      <c r="I1518" s="87">
        <f>F1518/F1523</f>
        <v>0.12600002449503669</v>
      </c>
      <c r="K1518" s="521"/>
    </row>
    <row r="1519" spans="1:11" s="17" customFormat="1" ht="16.5" customHeight="1" x14ac:dyDescent="0.25">
      <c r="A1519" s="81">
        <v>130</v>
      </c>
      <c r="B1519" s="716" t="s">
        <v>185</v>
      </c>
      <c r="C1519" s="717"/>
      <c r="D1519" s="428">
        <f>D870</f>
        <v>724486.86</v>
      </c>
      <c r="E1519" s="462">
        <f>E870</f>
        <v>2377158.52</v>
      </c>
      <c r="F1519" s="428">
        <f>F870</f>
        <v>1728664.95</v>
      </c>
      <c r="G1519" s="84">
        <f t="shared" si="120"/>
        <v>2.3860542481060318</v>
      </c>
      <c r="H1519" s="85">
        <f t="shared" si="121"/>
        <v>0.72719801201982948</v>
      </c>
      <c r="I1519" s="87">
        <f>F1519/F1523</f>
        <v>0.75452087284842073</v>
      </c>
      <c r="K1519" s="521"/>
    </row>
    <row r="1520" spans="1:11" s="17" customFormat="1" ht="16.5" customHeight="1" x14ac:dyDescent="0.25">
      <c r="A1520" s="81">
        <v>132</v>
      </c>
      <c r="B1520" s="716" t="s">
        <v>186</v>
      </c>
      <c r="C1520" s="717"/>
      <c r="D1520" s="5">
        <f>D991</f>
        <v>73983.67</v>
      </c>
      <c r="E1520" s="463">
        <f>E991</f>
        <v>122500</v>
      </c>
      <c r="F1520" s="5">
        <f>F991</f>
        <v>79754.820000000007</v>
      </c>
      <c r="G1520" s="84">
        <f t="shared" si="120"/>
        <v>1.0780057274801318</v>
      </c>
      <c r="H1520" s="85">
        <f t="shared" si="121"/>
        <v>0.65105975510204084</v>
      </c>
      <c r="I1520" s="87">
        <f>F1520/F1523</f>
        <v>3.4811069895452379E-2</v>
      </c>
      <c r="K1520" s="521"/>
    </row>
    <row r="1521" spans="1:13" s="17" customFormat="1" ht="16.5" customHeight="1" x14ac:dyDescent="0.25">
      <c r="A1521" s="81">
        <v>200</v>
      </c>
      <c r="B1521" s="716" t="s">
        <v>187</v>
      </c>
      <c r="C1521" s="717"/>
      <c r="D1521" s="5">
        <f>D1142</f>
        <v>0</v>
      </c>
      <c r="E1521" s="464">
        <f>E1142</f>
        <v>0</v>
      </c>
      <c r="F1521" s="5">
        <f>F1142</f>
        <v>0</v>
      </c>
      <c r="G1521" s="86" t="e">
        <f t="shared" si="120"/>
        <v>#DIV/0!</v>
      </c>
      <c r="H1521" s="87" t="e">
        <f t="shared" si="121"/>
        <v>#DIV/0!</v>
      </c>
      <c r="I1521" s="87">
        <f>F1521/F1523</f>
        <v>0</v>
      </c>
      <c r="K1521" s="521"/>
    </row>
    <row r="1522" spans="1:13" s="17" customFormat="1" ht="16.5" customHeight="1" x14ac:dyDescent="0.25">
      <c r="A1522" s="81">
        <v>300</v>
      </c>
      <c r="B1522" s="716" t="s">
        <v>188</v>
      </c>
      <c r="C1522" s="717"/>
      <c r="D1522" s="5">
        <f>D1251</f>
        <v>125463.3</v>
      </c>
      <c r="E1522" s="452">
        <f>E1251</f>
        <v>325000</v>
      </c>
      <c r="F1522" s="5">
        <f>F1251</f>
        <v>193980.93</v>
      </c>
      <c r="G1522" s="84">
        <f t="shared" si="120"/>
        <v>1.546116912276339</v>
      </c>
      <c r="H1522" s="85">
        <f t="shared" si="121"/>
        <v>0.59686439999999996</v>
      </c>
      <c r="I1522" s="87">
        <f>F1522/F1523</f>
        <v>8.4668032761090223E-2</v>
      </c>
      <c r="K1522" s="521"/>
    </row>
    <row r="1523" spans="1:13" s="17" customFormat="1" ht="16.5" customHeight="1" x14ac:dyDescent="0.25">
      <c r="A1523" s="146"/>
      <c r="B1523" s="718" t="s">
        <v>84</v>
      </c>
      <c r="C1523" s="719"/>
      <c r="D1523" s="465">
        <f>D1518+D1519+D1520+D1521+D1522</f>
        <v>1173972.8700000001</v>
      </c>
      <c r="E1523" s="465">
        <f>E1518+E1519+E1520+E1521+E1522</f>
        <v>3228008.71</v>
      </c>
      <c r="F1523" s="383">
        <f>F1518+F1519+F1520+F1521+F1522</f>
        <v>2291076.38</v>
      </c>
      <c r="G1523" s="169">
        <f t="shared" si="120"/>
        <v>1.9515581991260154</v>
      </c>
      <c r="H1523" s="174">
        <f t="shared" si="121"/>
        <v>0.70974913199661094</v>
      </c>
      <c r="I1523" s="174">
        <f>SUM(I1518:I1522)</f>
        <v>1</v>
      </c>
      <c r="K1523" s="521"/>
    </row>
    <row r="1524" spans="1:13" s="17" customFormat="1" ht="16.5" customHeight="1" x14ac:dyDescent="0.25">
      <c r="A1524" s="541"/>
      <c r="B1524" s="541"/>
      <c r="C1524" s="541"/>
      <c r="D1524" s="541"/>
      <c r="E1524" s="541"/>
      <c r="F1524" s="541"/>
      <c r="G1524" s="541"/>
      <c r="H1524" s="541"/>
      <c r="I1524" s="541"/>
      <c r="K1524" s="521"/>
    </row>
    <row r="1525" spans="1:13" s="17" customFormat="1" ht="16.5" customHeight="1" x14ac:dyDescent="0.25">
      <c r="A1525" s="525"/>
      <c r="B1525" s="715" t="s">
        <v>749</v>
      </c>
      <c r="C1525" s="715"/>
      <c r="D1525" s="715"/>
      <c r="E1525" s="715"/>
      <c r="F1525" s="715"/>
      <c r="G1525" s="715"/>
      <c r="H1525" s="715"/>
      <c r="I1525" s="715"/>
      <c r="K1525" s="521"/>
    </row>
    <row r="1526" spans="1:13" s="17" customFormat="1" ht="16.5" customHeight="1" x14ac:dyDescent="0.25">
      <c r="A1526" s="715" t="s">
        <v>750</v>
      </c>
      <c r="B1526" s="715"/>
      <c r="C1526" s="715"/>
      <c r="D1526" s="715"/>
      <c r="E1526" s="715"/>
      <c r="F1526" s="715"/>
      <c r="G1526" s="715"/>
      <c r="H1526" s="715"/>
      <c r="I1526" s="715"/>
      <c r="K1526" s="521"/>
    </row>
    <row r="1527" spans="1:13" s="17" customFormat="1" ht="16.5" customHeight="1" x14ac:dyDescent="0.25">
      <c r="A1527" s="188" t="s">
        <v>751</v>
      </c>
      <c r="B1527" s="188"/>
      <c r="C1527" s="188"/>
      <c r="D1527" s="188"/>
      <c r="E1527" s="188"/>
      <c r="F1527" s="188"/>
      <c r="G1527" s="188"/>
      <c r="H1527" s="188"/>
      <c r="I1527" s="188"/>
      <c r="K1527" s="521"/>
    </row>
    <row r="1528" spans="1:13" s="17" customFormat="1" ht="16.5" customHeight="1" x14ac:dyDescent="0.25">
      <c r="A1528" s="714" t="s">
        <v>752</v>
      </c>
      <c r="B1528" s="714"/>
      <c r="C1528" s="714"/>
      <c r="D1528" s="714"/>
      <c r="E1528" s="714"/>
      <c r="F1528" s="714"/>
      <c r="G1528" s="714"/>
      <c r="H1528" s="714"/>
      <c r="I1528" s="714"/>
      <c r="K1528" s="521"/>
    </row>
    <row r="1529" spans="1:13" s="17" customFormat="1" ht="16.5" customHeight="1" x14ac:dyDescent="0.25">
      <c r="A1529" s="714" t="s">
        <v>753</v>
      </c>
      <c r="B1529" s="714"/>
      <c r="C1529" s="714"/>
      <c r="D1529" s="714"/>
      <c r="E1529" s="714"/>
      <c r="F1529" s="714"/>
      <c r="G1529" s="714"/>
      <c r="H1529" s="714"/>
      <c r="I1529" s="714"/>
      <c r="K1529" s="521"/>
    </row>
    <row r="1530" spans="1:13" s="17" customFormat="1" ht="16.5" customHeight="1" x14ac:dyDescent="0.25">
      <c r="A1530" s="714" t="s">
        <v>754</v>
      </c>
      <c r="B1530" s="714"/>
      <c r="C1530" s="714"/>
      <c r="D1530" s="714"/>
      <c r="E1530" s="714"/>
      <c r="F1530" s="714"/>
      <c r="G1530" s="714"/>
      <c r="H1530" s="714"/>
      <c r="I1530" s="714"/>
      <c r="K1530" s="521"/>
      <c r="M1530" s="521"/>
    </row>
    <row r="1531" spans="1:13" s="17" customFormat="1" ht="16.5" customHeight="1" x14ac:dyDescent="0.25">
      <c r="A1531" s="714" t="s">
        <v>755</v>
      </c>
      <c r="B1531" s="714"/>
      <c r="C1531" s="714"/>
      <c r="D1531" s="714"/>
      <c r="E1531" s="714"/>
      <c r="F1531" s="714"/>
      <c r="G1531" s="714"/>
      <c r="H1531" s="714"/>
      <c r="I1531" s="714"/>
      <c r="K1531" s="521"/>
      <c r="M1531" s="521"/>
    </row>
    <row r="1532" spans="1:13" s="17" customFormat="1" ht="16.5" customHeight="1" x14ac:dyDescent="0.25">
      <c r="A1532" s="714" t="s">
        <v>756</v>
      </c>
      <c r="B1532" s="714"/>
      <c r="C1532" s="714"/>
      <c r="D1532" s="714"/>
      <c r="E1532" s="714"/>
      <c r="F1532" s="714"/>
      <c r="G1532" s="714"/>
      <c r="H1532" s="714"/>
      <c r="I1532" s="714"/>
      <c r="K1532" s="521"/>
      <c r="M1532" s="521"/>
    </row>
    <row r="1533" spans="1:13" s="17" customFormat="1" ht="16.5" customHeight="1" x14ac:dyDescent="0.25">
      <c r="A1533" s="714" t="s">
        <v>757</v>
      </c>
      <c r="B1533" s="714"/>
      <c r="C1533" s="714"/>
      <c r="D1533" s="714"/>
      <c r="E1533" s="714"/>
      <c r="F1533" s="714"/>
      <c r="G1533" s="714"/>
      <c r="H1533" s="714"/>
      <c r="I1533" s="714"/>
      <c r="K1533" s="521"/>
      <c r="M1533" s="521"/>
    </row>
    <row r="1534" spans="1:13" s="17" customFormat="1" ht="16.5" customHeight="1" x14ac:dyDescent="0.25">
      <c r="A1534" s="714" t="s">
        <v>758</v>
      </c>
      <c r="B1534" s="714"/>
      <c r="C1534" s="714"/>
      <c r="D1534" s="714"/>
      <c r="E1534" s="714"/>
      <c r="F1534" s="714"/>
      <c r="G1534" s="714"/>
      <c r="H1534" s="714"/>
      <c r="I1534" s="714"/>
      <c r="K1534" s="521"/>
      <c r="M1534" s="517"/>
    </row>
    <row r="1535" spans="1:13" s="17" customFormat="1" ht="12" customHeight="1" x14ac:dyDescent="0.25">
      <c r="A1535" s="537" t="s">
        <v>759</v>
      </c>
      <c r="B1535" s="537"/>
      <c r="C1535" s="537"/>
      <c r="D1535" s="537"/>
      <c r="E1535" s="537"/>
      <c r="F1535" s="537"/>
      <c r="G1535" s="537"/>
      <c r="H1535" s="537"/>
      <c r="I1535" s="537"/>
      <c r="K1535" s="521"/>
      <c r="M1535" s="517"/>
    </row>
    <row r="1536" spans="1:13" s="17" customFormat="1" ht="12" customHeight="1" x14ac:dyDescent="0.25">
      <c r="A1536" s="537"/>
      <c r="B1536" s="537" t="s">
        <v>760</v>
      </c>
      <c r="C1536" s="537"/>
      <c r="D1536" s="537"/>
      <c r="E1536" s="537"/>
      <c r="F1536" s="537"/>
      <c r="G1536" s="537"/>
      <c r="H1536" s="537"/>
      <c r="K1536" s="521"/>
      <c r="M1536" s="517"/>
    </row>
    <row r="1537" spans="1:13" s="17" customFormat="1" ht="16.5" customHeight="1" x14ac:dyDescent="0.25">
      <c r="A1537" s="537" t="s">
        <v>761</v>
      </c>
      <c r="B1537" s="537"/>
      <c r="C1537" s="537"/>
      <c r="D1537" s="537"/>
      <c r="E1537" s="537"/>
      <c r="F1537" s="537"/>
      <c r="G1537" s="537"/>
      <c r="H1537" s="537"/>
      <c r="I1537" s="410"/>
      <c r="K1537" s="521"/>
      <c r="M1537" s="517"/>
    </row>
    <row r="1538" spans="1:13" s="17" customFormat="1" ht="16.5" customHeight="1" x14ac:dyDescent="0.25">
      <c r="A1538" s="662"/>
      <c r="B1538" s="662"/>
      <c r="C1538" s="662"/>
      <c r="D1538" s="662"/>
      <c r="E1538" s="662"/>
      <c r="F1538" s="662"/>
      <c r="G1538" s="662"/>
      <c r="H1538" s="662"/>
      <c r="I1538" s="410"/>
      <c r="K1538" s="667"/>
      <c r="M1538" s="664"/>
    </row>
    <row r="1539" spans="1:13" s="17" customFormat="1" ht="16.5" customHeight="1" x14ac:dyDescent="0.25">
      <c r="A1539" s="662"/>
      <c r="B1539" s="662"/>
      <c r="C1539" s="662"/>
      <c r="D1539" s="662"/>
      <c r="E1539" s="662"/>
      <c r="F1539" s="662"/>
      <c r="G1539" s="662"/>
      <c r="H1539" s="662"/>
      <c r="I1539" s="410">
        <v>25</v>
      </c>
      <c r="K1539" s="667"/>
      <c r="M1539" s="664"/>
    </row>
    <row r="1540" spans="1:13" s="17" customFormat="1" ht="16.5" customHeight="1" x14ac:dyDescent="0.25">
      <c r="A1540" s="662"/>
      <c r="B1540" s="662"/>
      <c r="C1540" s="662"/>
      <c r="D1540" s="662"/>
      <c r="E1540" s="662"/>
      <c r="F1540" s="662"/>
      <c r="G1540" s="662"/>
      <c r="H1540" s="662"/>
      <c r="I1540" s="410"/>
      <c r="K1540" s="667"/>
      <c r="M1540" s="664"/>
    </row>
    <row r="1541" spans="1:13" s="17" customFormat="1" ht="16.5" customHeight="1" x14ac:dyDescent="0.25">
      <c r="A1541" s="537"/>
      <c r="B1541" s="537"/>
      <c r="C1541" s="537"/>
      <c r="D1541" s="537"/>
      <c r="E1541" s="537"/>
      <c r="F1541" s="537"/>
      <c r="G1541" s="537"/>
      <c r="H1541" s="537"/>
      <c r="K1541" s="521"/>
      <c r="M1541" s="517"/>
    </row>
    <row r="1542" spans="1:13" s="17" customFormat="1" ht="16.5" customHeight="1" x14ac:dyDescent="0.25">
      <c r="B1542" s="7" t="s">
        <v>324</v>
      </c>
      <c r="C1542" s="259"/>
      <c r="D1542" s="259"/>
      <c r="E1542" s="259"/>
      <c r="F1542" s="537"/>
      <c r="K1542" s="521"/>
      <c r="M1542" s="517"/>
    </row>
    <row r="1543" spans="1:13" s="17" customFormat="1" ht="16.5" customHeight="1" x14ac:dyDescent="0.25">
      <c r="K1543" s="521"/>
      <c r="M1543" s="517"/>
    </row>
    <row r="1544" spans="1:13" s="17" customFormat="1" ht="16.5" customHeight="1" x14ac:dyDescent="0.25">
      <c r="B1544" s="720" t="s">
        <v>325</v>
      </c>
      <c r="C1544" s="720"/>
      <c r="D1544" s="720"/>
      <c r="E1544" s="720"/>
      <c r="F1544" s="720"/>
      <c r="G1544" s="720"/>
      <c r="H1544" s="720"/>
      <c r="I1544" s="720"/>
      <c r="K1544" s="521"/>
      <c r="M1544" s="517"/>
    </row>
    <row r="1545" spans="1:13" s="17" customFormat="1" ht="16.5" customHeight="1" x14ac:dyDescent="0.25">
      <c r="A1545" s="541"/>
      <c r="B1545" s="524"/>
      <c r="C1545" s="524"/>
      <c r="D1545" s="524"/>
      <c r="E1545" s="524"/>
      <c r="F1545" s="524"/>
      <c r="G1545" s="524"/>
      <c r="H1545" s="524"/>
      <c r="I1545" s="524"/>
      <c r="K1545" s="521"/>
      <c r="M1545" s="517"/>
    </row>
    <row r="1546" spans="1:13" s="17" customFormat="1" ht="16.5" customHeight="1" x14ac:dyDescent="0.25">
      <c r="A1546" s="541"/>
      <c r="B1546" s="766" t="s">
        <v>326</v>
      </c>
      <c r="C1546" s="766"/>
      <c r="D1546" s="766"/>
      <c r="E1546" s="766"/>
      <c r="F1546" s="766"/>
      <c r="G1546" s="766"/>
      <c r="H1546" s="766"/>
      <c r="I1546" s="766"/>
      <c r="K1546" s="521"/>
      <c r="M1546" s="517"/>
    </row>
    <row r="1547" spans="1:13" s="17" customFormat="1" ht="16.5" customHeight="1" x14ac:dyDescent="0.25">
      <c r="A1547" s="523"/>
      <c r="B1547" s="523"/>
      <c r="C1547" s="523"/>
      <c r="D1547" s="523"/>
      <c r="E1547" s="701" t="s">
        <v>85</v>
      </c>
      <c r="F1547" s="523"/>
      <c r="G1547" s="523"/>
      <c r="H1547" s="523"/>
      <c r="I1547" s="523"/>
      <c r="K1547" s="521"/>
      <c r="M1547" s="517"/>
    </row>
    <row r="1548" spans="1:13" s="17" customFormat="1" ht="16.5" customHeight="1" x14ac:dyDescent="0.25">
      <c r="A1548" s="192"/>
      <c r="B1548" s="214"/>
      <c r="C1548" s="15"/>
      <c r="D1548" s="537"/>
      <c r="E1548" s="701"/>
      <c r="F1548" s="537"/>
      <c r="G1548" s="192"/>
      <c r="H1548" s="537"/>
      <c r="I1548" s="537"/>
      <c r="K1548" s="521"/>
      <c r="M1548" s="517"/>
    </row>
    <row r="1549" spans="1:13" s="17" customFormat="1" ht="16.5" customHeight="1" x14ac:dyDescent="0.25">
      <c r="A1549" s="557" t="s">
        <v>48</v>
      </c>
      <c r="B1549" s="702" t="s">
        <v>49</v>
      </c>
      <c r="C1549" s="703"/>
      <c r="D1549" s="380" t="s">
        <v>86</v>
      </c>
      <c r="E1549" s="530" t="s">
        <v>152</v>
      </c>
      <c r="F1549" s="40" t="s">
        <v>87</v>
      </c>
      <c r="G1549" s="706" t="s">
        <v>52</v>
      </c>
      <c r="H1549" s="707"/>
      <c r="I1549" s="708" t="s">
        <v>53</v>
      </c>
      <c r="K1549" s="521"/>
      <c r="M1549" s="517"/>
    </row>
    <row r="1550" spans="1:13" s="17" customFormat="1" ht="16.5" customHeight="1" x14ac:dyDescent="0.25">
      <c r="A1550" s="574" t="s">
        <v>88</v>
      </c>
      <c r="B1550" s="704"/>
      <c r="C1550" s="705"/>
      <c r="D1550" s="381" t="s">
        <v>575</v>
      </c>
      <c r="E1550" s="41" t="s">
        <v>573</v>
      </c>
      <c r="F1550" s="41" t="s">
        <v>607</v>
      </c>
      <c r="G1550" s="24" t="s">
        <v>55</v>
      </c>
      <c r="H1550" s="24" t="s">
        <v>56</v>
      </c>
      <c r="I1550" s="709"/>
      <c r="K1550" s="521"/>
      <c r="M1550" s="517"/>
    </row>
    <row r="1551" spans="1:13" s="17" customFormat="1" ht="16.5" customHeight="1" x14ac:dyDescent="0.25">
      <c r="A1551" s="142">
        <v>1</v>
      </c>
      <c r="B1551" s="710">
        <v>2</v>
      </c>
      <c r="C1551" s="711"/>
      <c r="D1551" s="131">
        <v>3</v>
      </c>
      <c r="E1551" s="129">
        <v>4</v>
      </c>
      <c r="F1551" s="129">
        <v>5</v>
      </c>
      <c r="G1551" s="129">
        <v>6</v>
      </c>
      <c r="H1551" s="129">
        <v>7</v>
      </c>
      <c r="I1551" s="142">
        <v>8</v>
      </c>
      <c r="K1551" s="521"/>
      <c r="M1551" s="517"/>
    </row>
    <row r="1552" spans="1:13" s="17" customFormat="1" ht="16.5" customHeight="1" x14ac:dyDescent="0.25">
      <c r="A1552" s="81">
        <v>111</v>
      </c>
      <c r="B1552" s="716" t="s">
        <v>184</v>
      </c>
      <c r="C1552" s="717"/>
      <c r="D1552" s="102">
        <f>D661</f>
        <v>0</v>
      </c>
      <c r="E1552" s="452">
        <f>E661</f>
        <v>6537.3</v>
      </c>
      <c r="F1552" s="102">
        <f>F661</f>
        <v>1693.28</v>
      </c>
      <c r="G1552" s="86" t="e">
        <f t="shared" ref="G1552:G1557" si="122">F1552/D1552</f>
        <v>#DIV/0!</v>
      </c>
      <c r="H1552" s="87">
        <f t="shared" ref="H1552:H1557" si="123">F1552/E1552</f>
        <v>0.25901824912425619</v>
      </c>
      <c r="I1552" s="87">
        <f>F1552/F1557</f>
        <v>0.26894066336198064</v>
      </c>
      <c r="K1552" s="521"/>
      <c r="M1552" s="517"/>
    </row>
    <row r="1553" spans="1:13" s="17" customFormat="1" ht="16.5" customHeight="1" x14ac:dyDescent="0.25">
      <c r="A1553" s="81">
        <v>130</v>
      </c>
      <c r="B1553" s="716" t="s">
        <v>185</v>
      </c>
      <c r="C1553" s="717"/>
      <c r="D1553" s="434">
        <f>D871</f>
        <v>1738.92</v>
      </c>
      <c r="E1553" s="462">
        <f>E871</f>
        <v>6500</v>
      </c>
      <c r="F1553" s="434">
        <f>F871</f>
        <v>4602.83</v>
      </c>
      <c r="G1553" s="86">
        <f t="shared" si="122"/>
        <v>2.6469475306512087</v>
      </c>
      <c r="H1553" s="87">
        <f t="shared" si="123"/>
        <v>0.70812769230769235</v>
      </c>
      <c r="I1553" s="87">
        <f>F1553/F1557</f>
        <v>0.73105933663801936</v>
      </c>
      <c r="K1553" s="521"/>
      <c r="M1553" s="517"/>
    </row>
    <row r="1554" spans="1:13" s="17" customFormat="1" ht="16.5" customHeight="1" x14ac:dyDescent="0.25">
      <c r="A1554" s="81">
        <v>132</v>
      </c>
      <c r="B1554" s="716" t="s">
        <v>186</v>
      </c>
      <c r="C1554" s="717"/>
      <c r="D1554" s="102">
        <v>0</v>
      </c>
      <c r="E1554" s="463">
        <v>0</v>
      </c>
      <c r="F1554" s="102">
        <v>0</v>
      </c>
      <c r="G1554" s="86" t="e">
        <f t="shared" si="122"/>
        <v>#DIV/0!</v>
      </c>
      <c r="H1554" s="87" t="e">
        <f t="shared" si="123"/>
        <v>#DIV/0!</v>
      </c>
      <c r="I1554" s="87">
        <f>F1554/F1557</f>
        <v>0</v>
      </c>
      <c r="K1554" s="521"/>
      <c r="M1554" s="517"/>
    </row>
    <row r="1555" spans="1:13" s="17" customFormat="1" ht="16.5" customHeight="1" x14ac:dyDescent="0.25">
      <c r="A1555" s="81">
        <v>200</v>
      </c>
      <c r="B1555" s="716" t="s">
        <v>187</v>
      </c>
      <c r="C1555" s="717"/>
      <c r="D1555" s="102">
        <f>D1143</f>
        <v>0</v>
      </c>
      <c r="E1555" s="464">
        <f>E1143</f>
        <v>0</v>
      </c>
      <c r="F1555" s="102">
        <f>F1143</f>
        <v>0</v>
      </c>
      <c r="G1555" s="86" t="e">
        <f t="shared" si="122"/>
        <v>#DIV/0!</v>
      </c>
      <c r="H1555" s="87" t="e">
        <f t="shared" si="123"/>
        <v>#DIV/0!</v>
      </c>
      <c r="I1555" s="87">
        <f>F1555/F1557</f>
        <v>0</v>
      </c>
      <c r="K1555" s="521"/>
      <c r="M1555" s="517"/>
    </row>
    <row r="1556" spans="1:13" s="17" customFormat="1" ht="16.5" customHeight="1" x14ac:dyDescent="0.25">
      <c r="A1556" s="81">
        <v>300</v>
      </c>
      <c r="B1556" s="716" t="s">
        <v>188</v>
      </c>
      <c r="C1556" s="717"/>
      <c r="D1556" s="102">
        <v>0</v>
      </c>
      <c r="E1556" s="452">
        <v>0</v>
      </c>
      <c r="F1556" s="102">
        <v>0</v>
      </c>
      <c r="G1556" s="86" t="e">
        <f t="shared" si="122"/>
        <v>#DIV/0!</v>
      </c>
      <c r="H1556" s="87" t="e">
        <f t="shared" si="123"/>
        <v>#DIV/0!</v>
      </c>
      <c r="I1556" s="87">
        <f>F1556/F1557</f>
        <v>0</v>
      </c>
      <c r="K1556" s="521"/>
      <c r="M1556" s="517"/>
    </row>
    <row r="1557" spans="1:13" s="17" customFormat="1" ht="16.5" customHeight="1" x14ac:dyDescent="0.25">
      <c r="A1557" s="146"/>
      <c r="B1557" s="718" t="s">
        <v>84</v>
      </c>
      <c r="C1557" s="719"/>
      <c r="D1557" s="466">
        <f>D1552+D1553+D1554+D1555+D1556</f>
        <v>1738.92</v>
      </c>
      <c r="E1557" s="466">
        <f>E1552+E1553+E1554+E1555+E1556</f>
        <v>13037.3</v>
      </c>
      <c r="F1557" s="383">
        <f>F1552+F1553+F1554+F1555+F1556</f>
        <v>6296.11</v>
      </c>
      <c r="G1557" s="148">
        <f t="shared" si="122"/>
        <v>3.6207013548639382</v>
      </c>
      <c r="H1557" s="174">
        <f t="shared" si="123"/>
        <v>0.4829305147538217</v>
      </c>
      <c r="I1557" s="174">
        <f>SUM(I1552:I1556)</f>
        <v>1</v>
      </c>
      <c r="K1557" s="521"/>
      <c r="M1557" s="517"/>
    </row>
    <row r="1558" spans="1:13" s="17" customFormat="1" ht="16.5" customHeight="1" x14ac:dyDescent="0.25">
      <c r="A1558" s="170"/>
      <c r="B1558" s="584"/>
      <c r="C1558" s="257"/>
      <c r="D1558" s="257"/>
      <c r="E1558" s="160"/>
      <c r="F1558" s="161"/>
      <c r="G1558" s="258"/>
      <c r="H1558" s="258"/>
      <c r="I1558" s="245"/>
      <c r="K1558" s="521"/>
      <c r="M1558" s="517"/>
    </row>
    <row r="1559" spans="1:13" s="17" customFormat="1" ht="16.5" customHeight="1" x14ac:dyDescent="0.25">
      <c r="A1559" s="525"/>
      <c r="B1559" s="715" t="s">
        <v>762</v>
      </c>
      <c r="C1559" s="715"/>
      <c r="D1559" s="715"/>
      <c r="E1559" s="715"/>
      <c r="F1559" s="715"/>
      <c r="G1559" s="715"/>
      <c r="H1559" s="715"/>
      <c r="I1559" s="715"/>
      <c r="K1559" s="521"/>
      <c r="M1559" s="517"/>
    </row>
    <row r="1560" spans="1:13" s="17" customFormat="1" ht="16.5" customHeight="1" x14ac:dyDescent="0.25">
      <c r="A1560" s="715" t="s">
        <v>763</v>
      </c>
      <c r="B1560" s="715"/>
      <c r="C1560" s="715"/>
      <c r="D1560" s="715"/>
      <c r="E1560" s="715"/>
      <c r="F1560" s="715"/>
      <c r="G1560" s="715"/>
      <c r="H1560" s="715"/>
      <c r="I1560" s="715"/>
      <c r="K1560" s="521"/>
      <c r="M1560" s="517"/>
    </row>
    <row r="1561" spans="1:13" s="17" customFormat="1" ht="16.5" customHeight="1" x14ac:dyDescent="0.25">
      <c r="A1561" s="525"/>
      <c r="B1561" s="525"/>
      <c r="C1561" s="525"/>
      <c r="D1561" s="525"/>
      <c r="E1561" s="525"/>
      <c r="F1561" s="525"/>
      <c r="G1561" s="525"/>
      <c r="H1561" s="525"/>
      <c r="I1561" s="216"/>
      <c r="K1561" s="521"/>
      <c r="M1561" s="517"/>
    </row>
    <row r="1562" spans="1:13" s="17" customFormat="1" ht="16.5" customHeight="1" x14ac:dyDescent="0.25">
      <c r="A1562" s="525"/>
      <c r="B1562" s="525"/>
      <c r="C1562" s="525"/>
      <c r="D1562" s="525"/>
      <c r="E1562" s="525"/>
      <c r="F1562" s="525"/>
      <c r="G1562" s="525"/>
      <c r="H1562" s="525"/>
      <c r="I1562" s="216"/>
      <c r="K1562" s="521"/>
      <c r="M1562" s="517"/>
    </row>
    <row r="1563" spans="1:13" s="17" customFormat="1" ht="16.5" customHeight="1" x14ac:dyDescent="0.25">
      <c r="A1563" s="525"/>
      <c r="B1563" s="525"/>
      <c r="C1563" s="525"/>
      <c r="D1563" s="525"/>
      <c r="E1563" s="525"/>
      <c r="F1563" s="525"/>
      <c r="G1563" s="525"/>
      <c r="H1563" s="525"/>
      <c r="I1563" s="387"/>
      <c r="K1563" s="521"/>
      <c r="M1563" s="517"/>
    </row>
    <row r="1564" spans="1:13" s="17" customFormat="1" ht="16.5" customHeight="1" x14ac:dyDescent="0.25">
      <c r="A1564" s="586"/>
      <c r="B1564" s="724" t="s">
        <v>764</v>
      </c>
      <c r="C1564" s="724"/>
      <c r="D1564" s="724"/>
      <c r="E1564" s="724"/>
      <c r="F1564" s="724"/>
      <c r="G1564" s="724"/>
      <c r="H1564" s="724"/>
      <c r="I1564" s="724"/>
      <c r="K1564" s="521"/>
      <c r="M1564" s="517"/>
    </row>
    <row r="1565" spans="1:13" s="17" customFormat="1" ht="16.5" customHeight="1" x14ac:dyDescent="0.25">
      <c r="A1565" s="720" t="s">
        <v>765</v>
      </c>
      <c r="B1565" s="720"/>
      <c r="C1565" s="720"/>
      <c r="D1565" s="720"/>
      <c r="E1565" s="720"/>
      <c r="F1565" s="720"/>
      <c r="G1565" s="720"/>
      <c r="H1565" s="720"/>
      <c r="I1565" s="720"/>
      <c r="K1565" s="521"/>
      <c r="L1565" s="521"/>
      <c r="M1565" s="517"/>
    </row>
    <row r="1566" spans="1:13" s="17" customFormat="1" ht="16.5" customHeight="1" x14ac:dyDescent="0.25">
      <c r="A1566" s="720" t="s">
        <v>531</v>
      </c>
      <c r="B1566" s="720"/>
      <c r="C1566" s="720"/>
      <c r="D1566" s="720"/>
      <c r="E1566" s="720"/>
      <c r="F1566" s="720"/>
      <c r="G1566" s="720"/>
      <c r="H1566" s="720"/>
      <c r="I1566" s="720"/>
      <c r="K1566" s="521"/>
      <c r="L1566" s="521"/>
      <c r="M1566" s="517"/>
    </row>
    <row r="1567" spans="1:13" s="17" customFormat="1" ht="16.5" customHeight="1" x14ac:dyDescent="0.25">
      <c r="B1567" s="216" t="s">
        <v>551</v>
      </c>
      <c r="E1567" s="524"/>
      <c r="F1567" s="524"/>
      <c r="G1567" s="524"/>
      <c r="H1567" s="524"/>
      <c r="I1567" s="524"/>
      <c r="K1567" s="521"/>
      <c r="L1567" s="521"/>
      <c r="M1567" s="517"/>
    </row>
    <row r="1568" spans="1:13" s="17" customFormat="1" ht="16.5" customHeight="1" x14ac:dyDescent="0.25">
      <c r="E1568" s="524"/>
      <c r="F1568" s="524"/>
      <c r="G1568" s="524"/>
      <c r="H1568" s="524"/>
      <c r="I1568" s="524"/>
      <c r="K1568" s="521"/>
      <c r="L1568" s="521"/>
      <c r="M1568" s="517"/>
    </row>
    <row r="1569" spans="1:13" s="17" customFormat="1" ht="16.5" customHeight="1" x14ac:dyDescent="0.3">
      <c r="B1569" s="335" t="s">
        <v>327</v>
      </c>
      <c r="C1569" s="575"/>
      <c r="E1569" s="524"/>
      <c r="F1569" s="524"/>
      <c r="G1569" s="524"/>
      <c r="H1569" s="524"/>
      <c r="I1569" s="524"/>
      <c r="K1569" s="521"/>
      <c r="L1569" s="517"/>
      <c r="M1569" s="517"/>
    </row>
    <row r="1570" spans="1:13" s="17" customFormat="1" ht="16.5" customHeight="1" x14ac:dyDescent="0.25">
      <c r="A1570" s="541"/>
      <c r="B1570" s="541"/>
      <c r="C1570" s="541"/>
      <c r="D1570" s="524"/>
      <c r="E1570" s="524"/>
      <c r="F1570" s="524"/>
      <c r="G1570" s="524"/>
      <c r="H1570" s="524"/>
      <c r="I1570" s="524"/>
      <c r="K1570" s="521"/>
      <c r="L1570" s="517"/>
      <c r="M1570" s="517"/>
    </row>
    <row r="1571" spans="1:13" s="17" customFormat="1" ht="16.5" customHeight="1" x14ac:dyDescent="0.25">
      <c r="A1571" s="541"/>
      <c r="B1571" s="720" t="s">
        <v>328</v>
      </c>
      <c r="C1571" s="720"/>
      <c r="D1571" s="720"/>
      <c r="E1571" s="720"/>
      <c r="F1571" s="720"/>
      <c r="G1571" s="720"/>
      <c r="H1571" s="720"/>
      <c r="I1571" s="720"/>
      <c r="K1571" s="521"/>
      <c r="L1571" s="517"/>
      <c r="M1571" s="517"/>
    </row>
    <row r="1572" spans="1:13" s="17" customFormat="1" ht="16.5" customHeight="1" x14ac:dyDescent="0.25">
      <c r="A1572" s="523"/>
      <c r="B1572" s="523"/>
      <c r="C1572" s="523"/>
      <c r="D1572" s="523"/>
      <c r="E1572" s="701" t="s">
        <v>85</v>
      </c>
      <c r="F1572" s="523"/>
      <c r="G1572" s="523"/>
      <c r="H1572" s="523"/>
      <c r="I1572" s="523"/>
      <c r="K1572" s="521"/>
      <c r="L1572" s="517"/>
      <c r="M1572" s="517"/>
    </row>
    <row r="1573" spans="1:13" s="17" customFormat="1" ht="16.5" customHeight="1" x14ac:dyDescent="0.25">
      <c r="A1573" s="192"/>
      <c r="B1573" s="214"/>
      <c r="C1573" s="15"/>
      <c r="D1573" s="537"/>
      <c r="E1573" s="701"/>
      <c r="F1573" s="537"/>
      <c r="G1573" s="192"/>
      <c r="H1573" s="537"/>
      <c r="I1573" s="537"/>
      <c r="K1573" s="521"/>
      <c r="L1573" s="517"/>
      <c r="M1573" s="517"/>
    </row>
    <row r="1574" spans="1:13" s="17" customFormat="1" ht="16.5" customHeight="1" x14ac:dyDescent="0.25">
      <c r="A1574" s="557" t="s">
        <v>48</v>
      </c>
      <c r="B1574" s="702" t="s">
        <v>49</v>
      </c>
      <c r="C1574" s="703"/>
      <c r="D1574" s="380" t="s">
        <v>86</v>
      </c>
      <c r="E1574" s="530" t="s">
        <v>152</v>
      </c>
      <c r="F1574" s="40" t="s">
        <v>87</v>
      </c>
      <c r="G1574" s="706" t="s">
        <v>52</v>
      </c>
      <c r="H1574" s="707"/>
      <c r="I1574" s="708" t="s">
        <v>53</v>
      </c>
      <c r="K1574" s="521"/>
      <c r="L1574" s="517"/>
      <c r="M1574" s="517"/>
    </row>
    <row r="1575" spans="1:13" s="17" customFormat="1" ht="21.75" customHeight="1" x14ac:dyDescent="0.25">
      <c r="A1575" s="574" t="s">
        <v>88</v>
      </c>
      <c r="B1575" s="704"/>
      <c r="C1575" s="705"/>
      <c r="D1575" s="381" t="s">
        <v>541</v>
      </c>
      <c r="E1575" s="41" t="s">
        <v>573</v>
      </c>
      <c r="F1575" s="41" t="s">
        <v>607</v>
      </c>
      <c r="G1575" s="24" t="s">
        <v>55</v>
      </c>
      <c r="H1575" s="24" t="s">
        <v>56</v>
      </c>
      <c r="I1575" s="709"/>
      <c r="K1575" s="521"/>
      <c r="L1575" s="517"/>
      <c r="M1575" s="517"/>
    </row>
    <row r="1576" spans="1:13" s="17" customFormat="1" ht="16.5" customHeight="1" x14ac:dyDescent="0.25">
      <c r="A1576" s="165">
        <v>1</v>
      </c>
      <c r="B1576" s="728">
        <v>2</v>
      </c>
      <c r="C1576" s="729"/>
      <c r="D1576" s="267">
        <v>3</v>
      </c>
      <c r="E1576" s="166">
        <v>4</v>
      </c>
      <c r="F1576" s="166">
        <v>5</v>
      </c>
      <c r="G1576" s="166">
        <v>6</v>
      </c>
      <c r="H1576" s="166">
        <v>7</v>
      </c>
      <c r="I1576" s="165">
        <v>8</v>
      </c>
      <c r="K1576" s="521"/>
      <c r="L1576" s="517"/>
      <c r="M1576" s="517"/>
    </row>
    <row r="1577" spans="1:13" s="17" customFormat="1" ht="16.5" customHeight="1" x14ac:dyDescent="0.25">
      <c r="A1577" s="81">
        <v>111</v>
      </c>
      <c r="B1577" s="716" t="s">
        <v>184</v>
      </c>
      <c r="C1577" s="717"/>
      <c r="D1577" s="102">
        <f>D662</f>
        <v>5795.14</v>
      </c>
      <c r="E1577" s="452">
        <f>E662</f>
        <v>8256.4</v>
      </c>
      <c r="F1577" s="102">
        <f>F662</f>
        <v>9879.4500000000007</v>
      </c>
      <c r="G1577" s="86">
        <f t="shared" ref="G1577:G1582" si="124">F1577/D1577</f>
        <v>1.7047819379687117</v>
      </c>
      <c r="H1577" s="87">
        <f t="shared" ref="H1577:H1582" si="125">F1577/E1577</f>
        <v>1.196580834261906</v>
      </c>
      <c r="I1577" s="87">
        <f>F1577/F1582</f>
        <v>0.88577525339693097</v>
      </c>
      <c r="K1577" s="521"/>
      <c r="L1577" s="517"/>
      <c r="M1577" s="517"/>
    </row>
    <row r="1578" spans="1:13" s="17" customFormat="1" ht="16.5" customHeight="1" x14ac:dyDescent="0.25">
      <c r="A1578" s="81">
        <v>130</v>
      </c>
      <c r="B1578" s="716" t="s">
        <v>185</v>
      </c>
      <c r="C1578" s="717"/>
      <c r="D1578" s="102">
        <f>D872</f>
        <v>2227.9699999999998</v>
      </c>
      <c r="E1578" s="452">
        <f>E872</f>
        <v>2800</v>
      </c>
      <c r="F1578" s="102">
        <f>F872</f>
        <v>1274</v>
      </c>
      <c r="G1578" s="86">
        <f t="shared" si="124"/>
        <v>0.57182098502223999</v>
      </c>
      <c r="H1578" s="87">
        <f t="shared" si="125"/>
        <v>0.45500000000000002</v>
      </c>
      <c r="I1578" s="87">
        <f>F1578/F1582</f>
        <v>0.114224746603069</v>
      </c>
      <c r="K1578" s="521"/>
      <c r="L1578" s="517"/>
      <c r="M1578" s="517"/>
    </row>
    <row r="1579" spans="1:13" s="17" customFormat="1" ht="16.5" customHeight="1" x14ac:dyDescent="0.25">
      <c r="A1579" s="81">
        <v>132</v>
      </c>
      <c r="B1579" s="716" t="s">
        <v>186</v>
      </c>
      <c r="C1579" s="717"/>
      <c r="D1579" s="102">
        <v>0</v>
      </c>
      <c r="E1579" s="452">
        <v>0</v>
      </c>
      <c r="F1579" s="102">
        <v>0</v>
      </c>
      <c r="G1579" s="86" t="e">
        <f t="shared" si="124"/>
        <v>#DIV/0!</v>
      </c>
      <c r="H1579" s="87" t="e">
        <f t="shared" si="125"/>
        <v>#DIV/0!</v>
      </c>
      <c r="I1579" s="87">
        <f>F1579/F1582</f>
        <v>0</v>
      </c>
      <c r="K1579" s="521"/>
      <c r="L1579" s="517"/>
      <c r="M1579" s="517"/>
    </row>
    <row r="1580" spans="1:13" s="17" customFormat="1" ht="16.5" customHeight="1" x14ac:dyDescent="0.25">
      <c r="A1580" s="81">
        <v>200</v>
      </c>
      <c r="B1580" s="716" t="s">
        <v>187</v>
      </c>
      <c r="C1580" s="717"/>
      <c r="D1580" s="102">
        <f>D1144</f>
        <v>0</v>
      </c>
      <c r="E1580" s="452">
        <f>E1144</f>
        <v>0</v>
      </c>
      <c r="F1580" s="102">
        <f>F1144</f>
        <v>0</v>
      </c>
      <c r="G1580" s="86" t="e">
        <f t="shared" si="124"/>
        <v>#DIV/0!</v>
      </c>
      <c r="H1580" s="87" t="e">
        <f t="shared" si="125"/>
        <v>#DIV/0!</v>
      </c>
      <c r="I1580" s="87">
        <f>F1580/F1582</f>
        <v>0</v>
      </c>
      <c r="K1580" s="521"/>
      <c r="L1580" s="517"/>
      <c r="M1580" s="517"/>
    </row>
    <row r="1581" spans="1:13" s="17" customFormat="1" ht="16.5" customHeight="1" x14ac:dyDescent="0.25">
      <c r="A1581" s="81">
        <v>300</v>
      </c>
      <c r="B1581" s="716" t="s">
        <v>188</v>
      </c>
      <c r="C1581" s="717"/>
      <c r="D1581" s="102">
        <v>0</v>
      </c>
      <c r="E1581" s="452">
        <v>0</v>
      </c>
      <c r="F1581" s="102">
        <v>0</v>
      </c>
      <c r="G1581" s="86" t="e">
        <f t="shared" si="124"/>
        <v>#DIV/0!</v>
      </c>
      <c r="H1581" s="87" t="e">
        <f t="shared" si="125"/>
        <v>#DIV/0!</v>
      </c>
      <c r="I1581" s="87">
        <f>F1581/F1582</f>
        <v>0</v>
      </c>
      <c r="K1581" s="521"/>
      <c r="L1581" s="517"/>
      <c r="M1581" s="517"/>
    </row>
    <row r="1582" spans="1:13" s="17" customFormat="1" ht="16.5" customHeight="1" x14ac:dyDescent="0.25">
      <c r="A1582" s="268"/>
      <c r="B1582" s="771" t="s">
        <v>84</v>
      </c>
      <c r="C1582" s="772"/>
      <c r="D1582" s="467">
        <f>D1577+D1578+D1579+D1580+D1581</f>
        <v>8023.1100000000006</v>
      </c>
      <c r="E1582" s="467">
        <f>E1577+E1578+E1579+E1580+E1581</f>
        <v>11056.4</v>
      </c>
      <c r="F1582" s="467">
        <f>F1577+F1578+F1579+F1580+F1581</f>
        <v>11153.45</v>
      </c>
      <c r="G1582" s="269">
        <f t="shared" si="124"/>
        <v>1.3901654096728078</v>
      </c>
      <c r="H1582" s="270">
        <f t="shared" si="125"/>
        <v>1.0087777215006695</v>
      </c>
      <c r="I1582" s="270">
        <f>SUM(I1577:I1581)</f>
        <v>1</v>
      </c>
      <c r="K1582" s="521"/>
      <c r="L1582" s="517"/>
      <c r="M1582" s="517"/>
    </row>
    <row r="1583" spans="1:13" s="17" customFormat="1" ht="16.5" customHeight="1" x14ac:dyDescent="0.25">
      <c r="A1583" s="242"/>
      <c r="B1583" s="242"/>
      <c r="C1583" s="242"/>
      <c r="D1583" s="242"/>
      <c r="E1583" s="242"/>
      <c r="F1583" s="242"/>
      <c r="G1583" s="242"/>
      <c r="H1583" s="242"/>
      <c r="I1583" s="541"/>
      <c r="K1583" s="521"/>
      <c r="L1583" s="517"/>
      <c r="M1583" s="517"/>
    </row>
    <row r="1584" spans="1:13" s="17" customFormat="1" ht="16.5" customHeight="1" x14ac:dyDescent="0.25">
      <c r="A1584" s="525"/>
      <c r="B1584" s="715" t="s">
        <v>766</v>
      </c>
      <c r="C1584" s="715"/>
      <c r="D1584" s="715"/>
      <c r="E1584" s="715"/>
      <c r="F1584" s="715"/>
      <c r="G1584" s="715"/>
      <c r="H1584" s="715"/>
      <c r="I1584" s="715"/>
      <c r="K1584" s="521"/>
      <c r="L1584" s="517"/>
      <c r="M1584" s="517"/>
    </row>
    <row r="1585" spans="1:13" s="17" customFormat="1" ht="16.5" customHeight="1" x14ac:dyDescent="0.25">
      <c r="A1585" s="720" t="s">
        <v>767</v>
      </c>
      <c r="B1585" s="720"/>
      <c r="C1585" s="720"/>
      <c r="D1585" s="720"/>
      <c r="E1585" s="720"/>
      <c r="F1585" s="720"/>
      <c r="G1585" s="720"/>
      <c r="H1585" s="720"/>
      <c r="I1585" s="720"/>
      <c r="K1585" s="521"/>
      <c r="L1585" s="517"/>
      <c r="M1585" s="517"/>
    </row>
    <row r="1586" spans="1:13" s="17" customFormat="1" ht="16.5" customHeight="1" x14ac:dyDescent="0.25">
      <c r="A1586" s="720" t="s">
        <v>552</v>
      </c>
      <c r="B1586" s="720"/>
      <c r="C1586" s="720"/>
      <c r="D1586" s="720"/>
      <c r="E1586" s="720"/>
      <c r="F1586" s="720"/>
      <c r="G1586" s="720"/>
      <c r="H1586" s="720"/>
      <c r="I1586" s="720"/>
      <c r="K1586" s="521"/>
      <c r="L1586" s="517"/>
      <c r="M1586" s="517"/>
    </row>
    <row r="1587" spans="1:13" s="17" customFormat="1" ht="12" customHeight="1" x14ac:dyDescent="0.25">
      <c r="B1587" s="216"/>
      <c r="E1587" s="524"/>
      <c r="F1587" s="524"/>
      <c r="G1587" s="524"/>
      <c r="H1587" s="524"/>
      <c r="I1587" s="524"/>
      <c r="K1587" s="521"/>
      <c r="L1587" s="517"/>
      <c r="M1587" s="517"/>
    </row>
    <row r="1588" spans="1:13" s="17" customFormat="1" ht="12" customHeight="1" x14ac:dyDescent="0.25">
      <c r="B1588" s="216"/>
      <c r="E1588" s="670"/>
      <c r="F1588" s="670"/>
      <c r="G1588" s="670"/>
      <c r="H1588" s="670"/>
      <c r="I1588" s="670"/>
      <c r="K1588" s="675"/>
      <c r="L1588" s="679"/>
      <c r="M1588" s="679"/>
    </row>
    <row r="1589" spans="1:13" s="17" customFormat="1" ht="12" customHeight="1" x14ac:dyDescent="0.25">
      <c r="B1589" s="216"/>
      <c r="E1589" s="670"/>
      <c r="F1589" s="670"/>
      <c r="G1589" s="670"/>
      <c r="H1589" s="670"/>
      <c r="I1589" s="670"/>
      <c r="K1589" s="675"/>
      <c r="L1589" s="679"/>
      <c r="M1589" s="679"/>
    </row>
    <row r="1590" spans="1:13" s="17" customFormat="1" ht="12" customHeight="1" x14ac:dyDescent="0.25">
      <c r="B1590" s="216"/>
      <c r="E1590" s="670"/>
      <c r="F1590" s="670"/>
      <c r="G1590" s="670"/>
      <c r="H1590" s="670"/>
      <c r="I1590" s="670"/>
      <c r="K1590" s="675"/>
      <c r="L1590" s="679"/>
      <c r="M1590" s="679"/>
    </row>
    <row r="1591" spans="1:13" s="17" customFormat="1" ht="12" customHeight="1" x14ac:dyDescent="0.25">
      <c r="B1591" s="216"/>
      <c r="E1591" s="670"/>
      <c r="F1591" s="670"/>
      <c r="G1591" s="670"/>
      <c r="H1591" s="670"/>
      <c r="I1591" s="670"/>
      <c r="K1591" s="675"/>
      <c r="L1591" s="679"/>
      <c r="M1591" s="679"/>
    </row>
    <row r="1592" spans="1:13" s="17" customFormat="1" ht="12" customHeight="1" x14ac:dyDescent="0.25">
      <c r="B1592" s="216"/>
      <c r="E1592" s="670"/>
      <c r="F1592" s="670"/>
      <c r="G1592" s="670"/>
      <c r="H1592" s="670"/>
      <c r="I1592" s="670"/>
      <c r="K1592" s="675"/>
      <c r="L1592" s="679"/>
      <c r="M1592" s="679"/>
    </row>
    <row r="1593" spans="1:13" s="17" customFormat="1" ht="12" customHeight="1" x14ac:dyDescent="0.25">
      <c r="B1593" s="216"/>
      <c r="E1593" s="670"/>
      <c r="F1593" s="670"/>
      <c r="G1593" s="670"/>
      <c r="H1593" s="670"/>
      <c r="I1593" s="670"/>
      <c r="K1593" s="675"/>
      <c r="L1593" s="679"/>
      <c r="M1593" s="679"/>
    </row>
    <row r="1594" spans="1:13" s="17" customFormat="1" ht="12" customHeight="1" x14ac:dyDescent="0.25">
      <c r="B1594" s="216"/>
      <c r="E1594" s="670"/>
      <c r="F1594" s="670"/>
      <c r="G1594" s="670"/>
      <c r="H1594" s="670"/>
      <c r="I1594" s="670"/>
      <c r="K1594" s="675"/>
      <c r="L1594" s="679"/>
      <c r="M1594" s="679"/>
    </row>
    <row r="1595" spans="1:13" s="17" customFormat="1" ht="12" customHeight="1" x14ac:dyDescent="0.25">
      <c r="B1595" s="216"/>
      <c r="E1595" s="670"/>
      <c r="F1595" s="670"/>
      <c r="G1595" s="670"/>
      <c r="H1595" s="670"/>
      <c r="I1595" s="670"/>
      <c r="K1595" s="675"/>
      <c r="L1595" s="679"/>
      <c r="M1595" s="679"/>
    </row>
    <row r="1596" spans="1:13" s="17" customFormat="1" ht="12" customHeight="1" x14ac:dyDescent="0.25">
      <c r="B1596" s="216"/>
      <c r="E1596" s="670"/>
      <c r="F1596" s="670"/>
      <c r="G1596" s="670"/>
      <c r="H1596" s="670"/>
      <c r="I1596" s="670"/>
      <c r="K1596" s="675"/>
      <c r="L1596" s="679"/>
      <c r="M1596" s="679"/>
    </row>
    <row r="1597" spans="1:13" s="17" customFormat="1" ht="12" customHeight="1" x14ac:dyDescent="0.25">
      <c r="B1597" s="216"/>
      <c r="E1597" s="670"/>
      <c r="F1597" s="670"/>
      <c r="G1597" s="670"/>
      <c r="H1597" s="670"/>
      <c r="I1597" s="670"/>
      <c r="K1597" s="675"/>
      <c r="L1597" s="679"/>
      <c r="M1597" s="679"/>
    </row>
    <row r="1598" spans="1:13" s="17" customFormat="1" ht="12" customHeight="1" x14ac:dyDescent="0.25">
      <c r="B1598" s="216"/>
      <c r="E1598" s="670"/>
      <c r="F1598" s="670"/>
      <c r="G1598" s="670"/>
      <c r="H1598" s="670"/>
      <c r="I1598" s="670"/>
      <c r="K1598" s="675"/>
      <c r="L1598" s="679"/>
      <c r="M1598" s="679"/>
    </row>
    <row r="1599" spans="1:13" s="17" customFormat="1" ht="12" customHeight="1" x14ac:dyDescent="0.25">
      <c r="B1599" s="216"/>
      <c r="E1599" s="670"/>
      <c r="F1599" s="670"/>
      <c r="G1599" s="670"/>
      <c r="H1599" s="670"/>
      <c r="I1599" s="670"/>
      <c r="K1599" s="675"/>
      <c r="L1599" s="679"/>
      <c r="M1599" s="679"/>
    </row>
    <row r="1600" spans="1:13" s="17" customFormat="1" ht="12" customHeight="1" x14ac:dyDescent="0.25">
      <c r="B1600" s="216"/>
      <c r="E1600" s="670"/>
      <c r="F1600" s="670"/>
      <c r="G1600" s="670"/>
      <c r="H1600" s="670"/>
      <c r="I1600" s="670"/>
      <c r="K1600" s="675"/>
      <c r="L1600" s="679"/>
      <c r="M1600" s="679"/>
    </row>
    <row r="1601" spans="1:13" s="17" customFormat="1" ht="12" customHeight="1" x14ac:dyDescent="0.25">
      <c r="B1601" s="216"/>
      <c r="E1601" s="670"/>
      <c r="F1601" s="670"/>
      <c r="G1601" s="670"/>
      <c r="H1601" s="670"/>
      <c r="I1601" s="670"/>
      <c r="K1601" s="675"/>
      <c r="L1601" s="679"/>
      <c r="M1601" s="679"/>
    </row>
    <row r="1602" spans="1:13" s="17" customFormat="1" ht="12" customHeight="1" x14ac:dyDescent="0.25">
      <c r="B1602" s="216"/>
      <c r="E1602" s="670"/>
      <c r="F1602" s="670"/>
      <c r="G1602" s="670"/>
      <c r="H1602" s="670"/>
      <c r="I1602" s="408">
        <v>26</v>
      </c>
      <c r="K1602" s="675"/>
      <c r="L1602" s="679"/>
      <c r="M1602" s="679"/>
    </row>
    <row r="1603" spans="1:13" s="17" customFormat="1" ht="12" customHeight="1" x14ac:dyDescent="0.25">
      <c r="A1603" s="523"/>
      <c r="B1603" s="523"/>
      <c r="C1603" s="523"/>
      <c r="D1603" s="523"/>
      <c r="E1603" s="523"/>
      <c r="F1603" s="523"/>
      <c r="G1603" s="523"/>
      <c r="H1603" s="523"/>
      <c r="I1603" s="523"/>
      <c r="K1603" s="521"/>
      <c r="L1603" s="517"/>
      <c r="M1603" s="517"/>
    </row>
    <row r="1604" spans="1:13" s="17" customFormat="1" ht="16.5" customHeight="1" x14ac:dyDescent="0.25">
      <c r="A1604" s="523"/>
      <c r="B1604" s="523"/>
      <c r="C1604" s="523"/>
      <c r="D1604" s="523"/>
      <c r="E1604" s="523"/>
      <c r="F1604" s="523"/>
      <c r="G1604" s="523"/>
      <c r="H1604" s="523"/>
      <c r="I1604" s="523"/>
      <c r="K1604" s="521"/>
      <c r="L1604" s="517"/>
      <c r="M1604" s="770"/>
    </row>
    <row r="1605" spans="1:13" s="17" customFormat="1" ht="16.5" customHeight="1" x14ac:dyDescent="0.25">
      <c r="A1605" s="722" t="s">
        <v>424</v>
      </c>
      <c r="B1605" s="722"/>
      <c r="C1605" s="722"/>
      <c r="D1605" s="722"/>
      <c r="E1605" s="556"/>
      <c r="F1605" s="556"/>
      <c r="G1605" s="556"/>
      <c r="H1605" s="541"/>
      <c r="I1605" s="245"/>
      <c r="K1605" s="521"/>
      <c r="L1605" s="517"/>
      <c r="M1605" s="770"/>
    </row>
    <row r="1606" spans="1:13" s="17" customFormat="1" ht="16.5" customHeight="1" x14ac:dyDescent="0.25">
      <c r="A1606" s="541"/>
      <c r="B1606" s="541"/>
      <c r="C1606" s="541"/>
      <c r="D1606" s="541"/>
      <c r="E1606" s="541"/>
      <c r="F1606" s="541"/>
      <c r="G1606" s="541"/>
      <c r="H1606" s="260"/>
      <c r="I1606" s="245"/>
      <c r="K1606" s="521"/>
      <c r="L1606" s="517"/>
      <c r="M1606" s="517"/>
    </row>
    <row r="1607" spans="1:13" s="17" customFormat="1" ht="16.5" customHeight="1" x14ac:dyDescent="0.25">
      <c r="A1607" s="524"/>
      <c r="B1607" s="720" t="s">
        <v>768</v>
      </c>
      <c r="C1607" s="720"/>
      <c r="D1607" s="720"/>
      <c r="E1607" s="720"/>
      <c r="F1607" s="720"/>
      <c r="G1607" s="720"/>
      <c r="H1607" s="720"/>
      <c r="I1607" s="720"/>
      <c r="K1607" s="521"/>
      <c r="L1607" s="517"/>
      <c r="M1607" s="517"/>
    </row>
    <row r="1608" spans="1:13" s="17" customFormat="1" ht="16.5" customHeight="1" x14ac:dyDescent="0.25">
      <c r="A1608" s="720" t="s">
        <v>769</v>
      </c>
      <c r="B1608" s="720"/>
      <c r="C1608" s="720"/>
      <c r="D1608" s="720"/>
      <c r="E1608" s="720"/>
      <c r="F1608" s="720"/>
      <c r="G1608" s="720"/>
      <c r="H1608" s="720"/>
      <c r="I1608" s="720"/>
      <c r="K1608" s="521"/>
      <c r="L1608" s="517"/>
      <c r="M1608" s="517"/>
    </row>
    <row r="1609" spans="1:13" s="17" customFormat="1" ht="16.5" customHeight="1" x14ac:dyDescent="0.25">
      <c r="A1609" s="524"/>
      <c r="B1609" s="720"/>
      <c r="C1609" s="720"/>
      <c r="D1609" s="720"/>
      <c r="E1609" s="720"/>
      <c r="F1609" s="720"/>
      <c r="G1609" s="720"/>
      <c r="H1609" s="720"/>
      <c r="I1609" s="720"/>
      <c r="K1609" s="521"/>
      <c r="L1609" s="517"/>
      <c r="M1609" s="521"/>
    </row>
    <row r="1610" spans="1:13" s="17" customFormat="1" ht="16.5" customHeight="1" x14ac:dyDescent="0.25">
      <c r="A1610" s="524"/>
      <c r="B1610" s="524" t="s">
        <v>329</v>
      </c>
      <c r="C1610" s="524"/>
      <c r="D1610" s="524"/>
      <c r="E1610" s="524"/>
      <c r="F1610" s="524"/>
      <c r="G1610" s="524"/>
      <c r="H1610" s="524"/>
      <c r="I1610" s="192"/>
      <c r="K1610" s="521"/>
      <c r="L1610" s="517"/>
      <c r="M1610" s="521"/>
    </row>
    <row r="1611" spans="1:13" s="17" customFormat="1" ht="16.5" customHeight="1" x14ac:dyDescent="0.25">
      <c r="A1611" s="523"/>
      <c r="B1611" s="523"/>
      <c r="C1611" s="523"/>
      <c r="D1611" s="523"/>
      <c r="E1611" s="701" t="s">
        <v>85</v>
      </c>
      <c r="F1611" s="523"/>
      <c r="G1611" s="523"/>
      <c r="H1611" s="523"/>
      <c r="I1611" s="523"/>
      <c r="K1611" s="521"/>
      <c r="L1611" s="517"/>
      <c r="M1611" s="521"/>
    </row>
    <row r="1612" spans="1:13" s="17" customFormat="1" ht="16.5" customHeight="1" x14ac:dyDescent="0.25">
      <c r="A1612" s="192"/>
      <c r="B1612" s="214"/>
      <c r="C1612" s="15"/>
      <c r="D1612" s="537"/>
      <c r="E1612" s="701"/>
      <c r="F1612" s="537"/>
      <c r="G1612" s="192"/>
      <c r="H1612" s="537"/>
      <c r="I1612" s="537"/>
      <c r="K1612" s="521"/>
      <c r="L1612" s="517"/>
      <c r="M1612" s="521"/>
    </row>
    <row r="1613" spans="1:13" s="17" customFormat="1" ht="16.5" customHeight="1" x14ac:dyDescent="0.25">
      <c r="A1613" s="557" t="s">
        <v>48</v>
      </c>
      <c r="B1613" s="702" t="s">
        <v>49</v>
      </c>
      <c r="C1613" s="703"/>
      <c r="D1613" s="380" t="s">
        <v>86</v>
      </c>
      <c r="E1613" s="530" t="s">
        <v>321</v>
      </c>
      <c r="F1613" s="40" t="s">
        <v>87</v>
      </c>
      <c r="G1613" s="706" t="s">
        <v>52</v>
      </c>
      <c r="H1613" s="707"/>
      <c r="I1613" s="708" t="s">
        <v>53</v>
      </c>
      <c r="K1613" s="521"/>
      <c r="L1613" s="517"/>
      <c r="M1613" s="521"/>
    </row>
    <row r="1614" spans="1:13" s="17" customFormat="1" ht="16.5" customHeight="1" x14ac:dyDescent="0.25">
      <c r="A1614" s="574" t="s">
        <v>88</v>
      </c>
      <c r="B1614" s="704"/>
      <c r="C1614" s="705"/>
      <c r="D1614" s="381" t="s">
        <v>541</v>
      </c>
      <c r="E1614" s="41" t="s">
        <v>573</v>
      </c>
      <c r="F1614" s="41" t="s">
        <v>607</v>
      </c>
      <c r="G1614" s="24" t="s">
        <v>55</v>
      </c>
      <c r="H1614" s="24" t="s">
        <v>56</v>
      </c>
      <c r="I1614" s="709"/>
      <c r="K1614" s="521"/>
      <c r="L1614" s="517"/>
      <c r="M1614" s="521"/>
    </row>
    <row r="1615" spans="1:13" s="17" customFormat="1" ht="16.5" customHeight="1" x14ac:dyDescent="0.25">
      <c r="A1615" s="165">
        <v>1</v>
      </c>
      <c r="B1615" s="728">
        <v>2</v>
      </c>
      <c r="C1615" s="729"/>
      <c r="D1615" s="582">
        <v>3</v>
      </c>
      <c r="E1615" s="166">
        <v>4</v>
      </c>
      <c r="F1615" s="166">
        <v>5</v>
      </c>
      <c r="G1615" s="166">
        <v>6</v>
      </c>
      <c r="H1615" s="166">
        <v>7</v>
      </c>
      <c r="I1615" s="165">
        <v>8</v>
      </c>
      <c r="K1615" s="521"/>
      <c r="L1615" s="517"/>
      <c r="M1615" s="521"/>
    </row>
    <row r="1616" spans="1:13" s="17" customFormat="1" ht="16.5" customHeight="1" x14ac:dyDescent="0.25">
      <c r="A1616" s="79">
        <v>50104</v>
      </c>
      <c r="B1616" s="774" t="s">
        <v>100</v>
      </c>
      <c r="C1616" s="775"/>
      <c r="D1616" s="74">
        <f t="shared" ref="D1616:F1620" si="126">D264</f>
        <v>11650</v>
      </c>
      <c r="E1616" s="468">
        <f t="shared" si="126"/>
        <v>18000</v>
      </c>
      <c r="F1616" s="74">
        <f t="shared" si="126"/>
        <v>7141.7</v>
      </c>
      <c r="G1616" s="86">
        <f t="shared" ref="G1616:G1623" si="127">F1616/D1616</f>
        <v>0.61302145922746776</v>
      </c>
      <c r="H1616" s="87">
        <f t="shared" ref="H1616:H1623" si="128">F1616/E1616</f>
        <v>0.39676111111111112</v>
      </c>
      <c r="I1616" s="87">
        <f>F1616/F1621</f>
        <v>0.28888385507469144</v>
      </c>
      <c r="K1616" s="521"/>
      <c r="L1616" s="517"/>
      <c r="M1616" s="521"/>
    </row>
    <row r="1617" spans="1:13" s="17" customFormat="1" ht="16.5" customHeight="1" x14ac:dyDescent="0.25">
      <c r="A1617" s="79">
        <v>50205</v>
      </c>
      <c r="B1617" s="774" t="s">
        <v>101</v>
      </c>
      <c r="C1617" s="775"/>
      <c r="D1617" s="74">
        <f t="shared" si="126"/>
        <v>3300</v>
      </c>
      <c r="E1617" s="468">
        <f t="shared" si="126"/>
        <v>18000</v>
      </c>
      <c r="F1617" s="74">
        <f t="shared" si="126"/>
        <v>17580</v>
      </c>
      <c r="G1617" s="86">
        <f t="shared" si="127"/>
        <v>5.3272727272727272</v>
      </c>
      <c r="H1617" s="87">
        <f t="shared" si="128"/>
        <v>0.97666666666666668</v>
      </c>
      <c r="I1617" s="87">
        <f>F1617/F1621</f>
        <v>0.7111161449253085</v>
      </c>
      <c r="K1617" s="521"/>
      <c r="L1617" s="517"/>
      <c r="M1617" s="521"/>
    </row>
    <row r="1618" spans="1:13" s="17" customFormat="1" ht="16.5" customHeight="1" x14ac:dyDescent="0.25">
      <c r="A1618" s="79">
        <v>50501</v>
      </c>
      <c r="B1618" s="776" t="s">
        <v>425</v>
      </c>
      <c r="C1618" s="777"/>
      <c r="D1618" s="74">
        <f t="shared" si="126"/>
        <v>0</v>
      </c>
      <c r="E1618" s="468">
        <f t="shared" si="126"/>
        <v>1000</v>
      </c>
      <c r="F1618" s="74">
        <f t="shared" si="126"/>
        <v>0</v>
      </c>
      <c r="G1618" s="86" t="e">
        <f t="shared" si="127"/>
        <v>#DIV/0!</v>
      </c>
      <c r="H1618" s="87">
        <f t="shared" si="128"/>
        <v>0</v>
      </c>
      <c r="I1618" s="87">
        <f>F1618/F1621</f>
        <v>0</v>
      </c>
      <c r="K1618" s="521"/>
      <c r="L1618" s="517"/>
      <c r="M1618" s="521"/>
    </row>
    <row r="1619" spans="1:13" s="17" customFormat="1" ht="16.5" customHeight="1" x14ac:dyDescent="0.25">
      <c r="A1619" s="77">
        <v>50505</v>
      </c>
      <c r="B1619" s="776" t="s">
        <v>331</v>
      </c>
      <c r="C1619" s="777"/>
      <c r="D1619" s="74">
        <f t="shared" si="126"/>
        <v>0</v>
      </c>
      <c r="E1619" s="468">
        <f t="shared" si="126"/>
        <v>0</v>
      </c>
      <c r="F1619" s="74">
        <f t="shared" si="126"/>
        <v>0</v>
      </c>
      <c r="G1619" s="86" t="e">
        <f t="shared" si="127"/>
        <v>#DIV/0!</v>
      </c>
      <c r="H1619" s="87" t="e">
        <f t="shared" si="128"/>
        <v>#DIV/0!</v>
      </c>
      <c r="I1619" s="87">
        <f>F1619/F1621</f>
        <v>0</v>
      </c>
      <c r="K1619" s="521"/>
      <c r="L1619" s="517"/>
      <c r="M1619" s="521"/>
    </row>
    <row r="1620" spans="1:13" s="17" customFormat="1" ht="16.5" customHeight="1" x14ac:dyDescent="0.25">
      <c r="A1620" s="79">
        <v>50507</v>
      </c>
      <c r="B1620" s="774" t="s">
        <v>332</v>
      </c>
      <c r="C1620" s="775"/>
      <c r="D1620" s="74">
        <f t="shared" si="126"/>
        <v>70</v>
      </c>
      <c r="E1620" s="468">
        <f t="shared" si="126"/>
        <v>5000</v>
      </c>
      <c r="F1620" s="74">
        <f t="shared" si="126"/>
        <v>0</v>
      </c>
      <c r="G1620" s="86">
        <f t="shared" si="127"/>
        <v>0</v>
      </c>
      <c r="H1620" s="87">
        <f t="shared" si="128"/>
        <v>0</v>
      </c>
      <c r="I1620" s="87">
        <f>F1620/F1621</f>
        <v>0</v>
      </c>
      <c r="K1620" s="521"/>
      <c r="L1620" s="517"/>
      <c r="M1620" s="521"/>
    </row>
    <row r="1621" spans="1:13" s="17" customFormat="1" ht="16.5" customHeight="1" x14ac:dyDescent="0.25">
      <c r="A1621" s="79"/>
      <c r="B1621" s="778" t="s">
        <v>97</v>
      </c>
      <c r="C1621" s="779"/>
      <c r="D1621" s="330">
        <f>D1616+D1617+D1618+D1619+D1620</f>
        <v>15020</v>
      </c>
      <c r="E1621" s="330">
        <f t="shared" ref="E1621" si="129">E1616+E1617+E1618+E1619+E1620</f>
        <v>42000</v>
      </c>
      <c r="F1621" s="330">
        <f>F1616+F1617+F1618+F1619+F1620</f>
        <v>24721.7</v>
      </c>
      <c r="G1621" s="116">
        <f t="shared" si="127"/>
        <v>1.645918774966711</v>
      </c>
      <c r="H1621" s="122">
        <f t="shared" si="128"/>
        <v>0.58861190476190473</v>
      </c>
      <c r="I1621" s="122">
        <f>F1621/F1623</f>
        <v>0.30574708094690978</v>
      </c>
      <c r="K1621" s="521"/>
      <c r="L1621" s="517"/>
      <c r="M1621" s="521"/>
    </row>
    <row r="1622" spans="1:13" s="17" customFormat="1" ht="16.5" customHeight="1" x14ac:dyDescent="0.25">
      <c r="A1622" s="89">
        <v>50102</v>
      </c>
      <c r="B1622" s="780" t="s">
        <v>330</v>
      </c>
      <c r="C1622" s="781"/>
      <c r="D1622" s="330">
        <f>D270</f>
        <v>43675</v>
      </c>
      <c r="E1622" s="80">
        <v>0</v>
      </c>
      <c r="F1622" s="330">
        <f>F270</f>
        <v>56135</v>
      </c>
      <c r="G1622" s="116">
        <f t="shared" si="127"/>
        <v>1.2852890669719519</v>
      </c>
      <c r="H1622" s="122" t="e">
        <f t="shared" si="128"/>
        <v>#DIV/0!</v>
      </c>
      <c r="I1622" s="122">
        <f>F1622/F1623</f>
        <v>0.69425291905309028</v>
      </c>
      <c r="K1622" s="521"/>
      <c r="L1622" s="517"/>
      <c r="M1622" s="521"/>
    </row>
    <row r="1623" spans="1:13" s="17" customFormat="1" ht="16.5" customHeight="1" x14ac:dyDescent="0.25">
      <c r="A1623" s="268"/>
      <c r="B1623" s="771" t="s">
        <v>333</v>
      </c>
      <c r="C1623" s="772"/>
      <c r="D1623" s="469">
        <f>D1621+D1622</f>
        <v>58695</v>
      </c>
      <c r="E1623" s="469">
        <f t="shared" ref="E1623" si="130">E1621+E1622</f>
        <v>42000</v>
      </c>
      <c r="F1623" s="469">
        <f>F1621+F1622</f>
        <v>80856.7</v>
      </c>
      <c r="G1623" s="269">
        <f t="shared" si="127"/>
        <v>1.3775738989692479</v>
      </c>
      <c r="H1623" s="271">
        <f t="shared" si="128"/>
        <v>1.9251595238095238</v>
      </c>
      <c r="I1623" s="271">
        <f>I1621+I1622</f>
        <v>1</v>
      </c>
      <c r="K1623" s="521"/>
      <c r="L1623" s="517"/>
      <c r="M1623" s="521"/>
    </row>
    <row r="1624" spans="1:13" s="17" customFormat="1" ht="16.5" customHeight="1" x14ac:dyDescent="0.25">
      <c r="A1624" s="170"/>
      <c r="B1624" s="583"/>
      <c r="C1624" s="583"/>
      <c r="D1624" s="272"/>
      <c r="E1624" s="160"/>
      <c r="F1624" s="161"/>
      <c r="G1624" s="258"/>
      <c r="H1624" s="258"/>
      <c r="I1624" s="216"/>
      <c r="K1624" s="521"/>
      <c r="L1624" s="517"/>
      <c r="M1624" s="521"/>
    </row>
    <row r="1625" spans="1:13" s="17" customFormat="1" ht="12" customHeight="1" x14ac:dyDescent="0.25">
      <c r="A1625" s="170"/>
      <c r="B1625" s="583"/>
      <c r="C1625" s="583"/>
      <c r="D1625" s="272"/>
      <c r="E1625" s="160"/>
      <c r="F1625" s="161"/>
      <c r="G1625" s="258"/>
      <c r="H1625" s="258"/>
      <c r="I1625" s="216"/>
      <c r="K1625" s="521"/>
      <c r="L1625" s="517"/>
      <c r="M1625" s="521"/>
    </row>
    <row r="1626" spans="1:13" s="17" customFormat="1" ht="12" customHeight="1" x14ac:dyDescent="0.25">
      <c r="A1626" s="742" t="s">
        <v>770</v>
      </c>
      <c r="B1626" s="742"/>
      <c r="C1626" s="742"/>
      <c r="D1626" s="742"/>
      <c r="E1626" s="742"/>
      <c r="F1626" s="742"/>
      <c r="G1626" s="742"/>
      <c r="H1626" s="742"/>
      <c r="I1626" s="742"/>
      <c r="K1626" s="521"/>
      <c r="L1626" s="517"/>
      <c r="M1626" s="521"/>
    </row>
    <row r="1627" spans="1:13" s="17" customFormat="1" ht="16.5" customHeight="1" x14ac:dyDescent="0.25">
      <c r="A1627" s="742" t="s">
        <v>771</v>
      </c>
      <c r="B1627" s="742"/>
      <c r="C1627" s="742"/>
      <c r="D1627" s="742"/>
      <c r="E1627" s="742"/>
      <c r="F1627" s="742"/>
      <c r="G1627" s="742"/>
      <c r="H1627" s="742"/>
      <c r="I1627" s="742"/>
      <c r="K1627" s="521"/>
      <c r="L1627" s="517"/>
      <c r="M1627" s="521"/>
    </row>
    <row r="1628" spans="1:13" s="17" customFormat="1" ht="16.5" customHeight="1" x14ac:dyDescent="0.25">
      <c r="A1628" s="742" t="s">
        <v>772</v>
      </c>
      <c r="B1628" s="742"/>
      <c r="C1628" s="742"/>
      <c r="D1628" s="742"/>
      <c r="E1628" s="742"/>
      <c r="F1628" s="742"/>
      <c r="G1628" s="742"/>
      <c r="H1628" s="742"/>
      <c r="I1628" s="742"/>
      <c r="K1628" s="521"/>
      <c r="L1628" s="517"/>
      <c r="M1628" s="521"/>
    </row>
    <row r="1629" spans="1:13" s="17" customFormat="1" ht="16.5" customHeight="1" x14ac:dyDescent="0.25">
      <c r="A1629" s="389"/>
      <c r="B1629" s="773" t="s">
        <v>1058</v>
      </c>
      <c r="C1629" s="773"/>
      <c r="D1629" s="773"/>
      <c r="E1629" s="773"/>
      <c r="F1629" s="773"/>
      <c r="G1629" s="773"/>
      <c r="H1629" s="773"/>
      <c r="I1629" s="773"/>
      <c r="K1629" s="521"/>
      <c r="L1629" s="517"/>
      <c r="M1629" s="521"/>
    </row>
    <row r="1630" spans="1:13" s="17" customFormat="1" ht="16.5" customHeight="1" x14ac:dyDescent="0.25">
      <c r="A1630" s="389" t="s">
        <v>1059</v>
      </c>
      <c r="B1630" s="389"/>
      <c r="C1630" s="389"/>
      <c r="D1630" s="389"/>
      <c r="E1630" s="389"/>
      <c r="F1630" s="389"/>
      <c r="G1630" s="389"/>
      <c r="H1630" s="389"/>
      <c r="I1630" s="389"/>
      <c r="K1630" s="521"/>
      <c r="L1630" s="517"/>
      <c r="M1630" s="521"/>
    </row>
    <row r="1631" spans="1:13" s="17" customFormat="1" ht="16.5" customHeight="1" x14ac:dyDescent="0.25">
      <c r="A1631" s="527"/>
      <c r="B1631" s="742" t="s">
        <v>334</v>
      </c>
      <c r="C1631" s="742"/>
      <c r="D1631" s="742"/>
      <c r="E1631" s="742"/>
      <c r="F1631" s="742"/>
      <c r="G1631" s="742"/>
      <c r="H1631" s="742"/>
      <c r="I1631" s="742"/>
      <c r="K1631" s="521"/>
      <c r="L1631" s="517"/>
      <c r="M1631" s="521"/>
    </row>
    <row r="1632" spans="1:13" s="17" customFormat="1" ht="16.5" customHeight="1" x14ac:dyDescent="0.25">
      <c r="K1632" s="521"/>
      <c r="L1632" s="517"/>
      <c r="M1632" s="521"/>
    </row>
    <row r="1633" spans="1:13" s="17" customFormat="1" ht="16.5" customHeight="1" x14ac:dyDescent="0.25">
      <c r="B1633" s="575" t="s">
        <v>326</v>
      </c>
      <c r="C1633" s="575"/>
      <c r="D1633" s="575"/>
      <c r="E1633" s="575"/>
      <c r="F1633" s="575"/>
      <c r="G1633" s="575"/>
      <c r="K1633" s="521"/>
      <c r="L1633" s="517"/>
      <c r="M1633" s="521"/>
    </row>
    <row r="1634" spans="1:13" s="17" customFormat="1" ht="16.5" customHeight="1" x14ac:dyDescent="0.25">
      <c r="A1634" s="523"/>
      <c r="B1634" s="523"/>
      <c r="C1634" s="523"/>
      <c r="D1634" s="523"/>
      <c r="E1634" s="701" t="s">
        <v>85</v>
      </c>
      <c r="F1634" s="523"/>
      <c r="G1634" s="523"/>
      <c r="H1634" s="523"/>
      <c r="I1634" s="523"/>
      <c r="K1634" s="521"/>
      <c r="L1634" s="517"/>
      <c r="M1634" s="521"/>
    </row>
    <row r="1635" spans="1:13" s="17" customFormat="1" ht="16.5" customHeight="1" x14ac:dyDescent="0.25">
      <c r="A1635" s="192"/>
      <c r="B1635" s="214"/>
      <c r="C1635" s="15"/>
      <c r="D1635" s="537"/>
      <c r="E1635" s="701"/>
      <c r="F1635" s="537"/>
      <c r="G1635" s="192"/>
      <c r="H1635" s="537"/>
      <c r="I1635" s="537"/>
      <c r="K1635" s="521"/>
      <c r="L1635" s="517"/>
      <c r="M1635" s="521"/>
    </row>
    <row r="1636" spans="1:13" s="17" customFormat="1" ht="12.95" customHeight="1" x14ac:dyDescent="0.25">
      <c r="A1636" s="557" t="s">
        <v>48</v>
      </c>
      <c r="B1636" s="702" t="s">
        <v>49</v>
      </c>
      <c r="C1636" s="703"/>
      <c r="D1636" s="380" t="s">
        <v>86</v>
      </c>
      <c r="E1636" s="530" t="s">
        <v>152</v>
      </c>
      <c r="F1636" s="40" t="s">
        <v>87</v>
      </c>
      <c r="G1636" s="706" t="s">
        <v>52</v>
      </c>
      <c r="H1636" s="707"/>
      <c r="I1636" s="708" t="s">
        <v>53</v>
      </c>
      <c r="K1636" s="521"/>
      <c r="L1636" s="770"/>
      <c r="M1636" s="521"/>
    </row>
    <row r="1637" spans="1:13" s="17" customFormat="1" ht="16.5" customHeight="1" x14ac:dyDescent="0.25">
      <c r="A1637" s="574" t="s">
        <v>88</v>
      </c>
      <c r="B1637" s="704"/>
      <c r="C1637" s="705"/>
      <c r="D1637" s="381" t="s">
        <v>541</v>
      </c>
      <c r="E1637" s="41" t="s">
        <v>573</v>
      </c>
      <c r="F1637" s="41" t="s">
        <v>607</v>
      </c>
      <c r="G1637" s="24" t="s">
        <v>55</v>
      </c>
      <c r="H1637" s="24" t="s">
        <v>56</v>
      </c>
      <c r="I1637" s="709"/>
      <c r="K1637" s="521"/>
      <c r="L1637" s="770"/>
      <c r="M1637" s="521"/>
    </row>
    <row r="1638" spans="1:13" s="17" customFormat="1" ht="16.5" customHeight="1" x14ac:dyDescent="0.25">
      <c r="A1638" s="142">
        <v>1</v>
      </c>
      <c r="B1638" s="710">
        <v>2</v>
      </c>
      <c r="C1638" s="711"/>
      <c r="D1638" s="513">
        <v>3</v>
      </c>
      <c r="E1638" s="129">
        <v>4</v>
      </c>
      <c r="F1638" s="129">
        <v>5</v>
      </c>
      <c r="G1638" s="129">
        <v>6</v>
      </c>
      <c r="H1638" s="129">
        <v>7</v>
      </c>
      <c r="I1638" s="142">
        <v>8</v>
      </c>
      <c r="K1638" s="521"/>
      <c r="L1638" s="517"/>
      <c r="M1638" s="521"/>
    </row>
    <row r="1639" spans="1:13" s="17" customFormat="1" ht="16.5" customHeight="1" x14ac:dyDescent="0.25">
      <c r="A1639" s="81">
        <v>111</v>
      </c>
      <c r="B1639" s="716" t="s">
        <v>184</v>
      </c>
      <c r="C1639" s="717"/>
      <c r="D1639" s="5">
        <f>D663</f>
        <v>154326.26</v>
      </c>
      <c r="E1639" s="452">
        <f>E663</f>
        <v>258957.18</v>
      </c>
      <c r="F1639" s="5">
        <f>F663</f>
        <v>166800.82999999999</v>
      </c>
      <c r="G1639" s="86">
        <f t="shared" ref="G1639:G1644" si="131">F1639/D1639</f>
        <v>1.0808324519754446</v>
      </c>
      <c r="H1639" s="87">
        <f t="shared" ref="H1639:H1644" si="132">F1639/E1639</f>
        <v>0.64412514068928306</v>
      </c>
      <c r="I1639" s="87">
        <f>F1639/F1644</f>
        <v>0.70290875088806049</v>
      </c>
      <c r="K1639" s="521"/>
      <c r="L1639" s="517"/>
      <c r="M1639" s="521"/>
    </row>
    <row r="1640" spans="1:13" s="17" customFormat="1" ht="16.5" customHeight="1" x14ac:dyDescent="0.25">
      <c r="A1640" s="81">
        <v>130</v>
      </c>
      <c r="B1640" s="716" t="s">
        <v>185</v>
      </c>
      <c r="C1640" s="717"/>
      <c r="D1640" s="434">
        <f>D873</f>
        <v>40865.9</v>
      </c>
      <c r="E1640" s="470">
        <f>E873</f>
        <v>73500</v>
      </c>
      <c r="F1640" s="434">
        <f>F873</f>
        <v>70500</v>
      </c>
      <c r="G1640" s="86">
        <f t="shared" si="131"/>
        <v>1.7251547133429093</v>
      </c>
      <c r="H1640" s="87">
        <f t="shared" si="132"/>
        <v>0.95918367346938771</v>
      </c>
      <c r="I1640" s="87">
        <f>F1640/F1644</f>
        <v>0.29709124911193951</v>
      </c>
      <c r="K1640" s="521"/>
      <c r="L1640" s="517"/>
      <c r="M1640" s="521"/>
    </row>
    <row r="1641" spans="1:13" s="17" customFormat="1" ht="16.5" customHeight="1" x14ac:dyDescent="0.25">
      <c r="A1641" s="81">
        <v>132</v>
      </c>
      <c r="B1641" s="716" t="s">
        <v>186</v>
      </c>
      <c r="C1641" s="717"/>
      <c r="D1641" s="5">
        <v>0</v>
      </c>
      <c r="E1641" s="5">
        <f>0+0+0+0+0</f>
        <v>0</v>
      </c>
      <c r="F1641" s="5">
        <v>0</v>
      </c>
      <c r="G1641" s="86" t="e">
        <f t="shared" si="131"/>
        <v>#DIV/0!</v>
      </c>
      <c r="H1641" s="87" t="e">
        <f t="shared" si="132"/>
        <v>#DIV/0!</v>
      </c>
      <c r="I1641" s="87">
        <f>F1641/F1644</f>
        <v>0</v>
      </c>
      <c r="K1641" s="521"/>
      <c r="L1641" s="521"/>
      <c r="M1641" s="521"/>
    </row>
    <row r="1642" spans="1:13" s="17" customFormat="1" ht="16.5" customHeight="1" x14ac:dyDescent="0.25">
      <c r="A1642" s="81">
        <v>200</v>
      </c>
      <c r="B1642" s="716" t="s">
        <v>187</v>
      </c>
      <c r="C1642" s="717"/>
      <c r="D1642" s="5">
        <v>0</v>
      </c>
      <c r="E1642" s="5">
        <f>0+0+0+0+0</f>
        <v>0</v>
      </c>
      <c r="F1642" s="5">
        <v>0</v>
      </c>
      <c r="G1642" s="86" t="e">
        <f t="shared" si="131"/>
        <v>#DIV/0!</v>
      </c>
      <c r="H1642" s="87" t="e">
        <f t="shared" si="132"/>
        <v>#DIV/0!</v>
      </c>
      <c r="I1642" s="87">
        <f>F1642/F1644</f>
        <v>0</v>
      </c>
      <c r="K1642" s="521"/>
      <c r="L1642" s="521"/>
      <c r="M1642" s="521"/>
    </row>
    <row r="1643" spans="1:13" s="17" customFormat="1" ht="16.5" customHeight="1" x14ac:dyDescent="0.25">
      <c r="A1643" s="81">
        <v>300</v>
      </c>
      <c r="B1643" s="716" t="s">
        <v>188</v>
      </c>
      <c r="C1643" s="717"/>
      <c r="D1643" s="5">
        <v>0</v>
      </c>
      <c r="E1643" s="5">
        <f>0+0+0+0+0</f>
        <v>0</v>
      </c>
      <c r="F1643" s="5">
        <v>0</v>
      </c>
      <c r="G1643" s="86" t="e">
        <f t="shared" si="131"/>
        <v>#DIV/0!</v>
      </c>
      <c r="H1643" s="87" t="e">
        <f t="shared" si="132"/>
        <v>#DIV/0!</v>
      </c>
      <c r="I1643" s="87">
        <f>F1643/F1644</f>
        <v>0</v>
      </c>
      <c r="K1643" s="521"/>
      <c r="L1643" s="521"/>
      <c r="M1643" s="521"/>
    </row>
    <row r="1644" spans="1:13" s="17" customFormat="1" ht="16.5" customHeight="1" x14ac:dyDescent="0.25">
      <c r="A1644" s="146"/>
      <c r="B1644" s="718" t="s">
        <v>84</v>
      </c>
      <c r="C1644" s="719"/>
      <c r="D1644" s="465">
        <f>D1639+D1640+D1641+D1642+D1643</f>
        <v>195192.16</v>
      </c>
      <c r="E1644" s="465">
        <f>E1639+E1640+E1641+E1642+E1643</f>
        <v>332457.18</v>
      </c>
      <c r="F1644" s="383">
        <f>F1639+F1640+F1641+F1642+F1643</f>
        <v>237300.83</v>
      </c>
      <c r="G1644" s="169">
        <f t="shared" si="131"/>
        <v>1.2157293100296651</v>
      </c>
      <c r="H1644" s="137">
        <f t="shared" si="132"/>
        <v>0.71377862857406171</v>
      </c>
      <c r="I1644" s="174">
        <f>SUM(I1639:I1643)</f>
        <v>1</v>
      </c>
      <c r="K1644" s="521"/>
      <c r="L1644" s="521"/>
      <c r="M1644" s="521"/>
    </row>
    <row r="1645" spans="1:13" s="17" customFormat="1" ht="16.5" customHeight="1" x14ac:dyDescent="0.25">
      <c r="A1645" s="275"/>
      <c r="B1645" s="275"/>
      <c r="C1645" s="275"/>
      <c r="D1645" s="275"/>
      <c r="E1645" s="275"/>
      <c r="F1645" s="275"/>
      <c r="G1645" s="537"/>
      <c r="H1645" s="541"/>
      <c r="I1645" s="245"/>
      <c r="K1645" s="521"/>
      <c r="L1645" s="521"/>
      <c r="M1645" s="521"/>
    </row>
    <row r="1646" spans="1:13" s="17" customFormat="1" ht="16.5" customHeight="1" x14ac:dyDescent="0.25">
      <c r="A1646" s="525"/>
      <c r="B1646" s="715" t="s">
        <v>773</v>
      </c>
      <c r="C1646" s="715"/>
      <c r="D1646" s="715"/>
      <c r="E1646" s="715"/>
      <c r="F1646" s="715"/>
      <c r="G1646" s="715"/>
      <c r="H1646" s="715"/>
      <c r="I1646" s="715"/>
      <c r="K1646" s="521"/>
      <c r="L1646" s="521"/>
      <c r="M1646" s="521"/>
    </row>
    <row r="1647" spans="1:13" s="17" customFormat="1" ht="16.5" customHeight="1" x14ac:dyDescent="0.25">
      <c r="A1647" s="715" t="s">
        <v>774</v>
      </c>
      <c r="B1647" s="715"/>
      <c r="C1647" s="715"/>
      <c r="D1647" s="715"/>
      <c r="E1647" s="715"/>
      <c r="F1647" s="715"/>
      <c r="G1647" s="715"/>
      <c r="H1647" s="715"/>
      <c r="I1647" s="715"/>
      <c r="K1647" s="521"/>
      <c r="L1647" s="521"/>
      <c r="M1647" s="521"/>
    </row>
    <row r="1648" spans="1:13" s="17" customFormat="1" ht="16.5" customHeight="1" x14ac:dyDescent="0.25">
      <c r="A1648" s="752" t="s">
        <v>775</v>
      </c>
      <c r="B1648" s="752"/>
      <c r="C1648" s="752"/>
      <c r="D1648" s="752"/>
      <c r="E1648" s="752"/>
      <c r="F1648" s="752"/>
      <c r="G1648" s="752"/>
      <c r="H1648" s="752"/>
      <c r="I1648" s="752"/>
      <c r="K1648" s="521"/>
      <c r="L1648" s="521"/>
      <c r="M1648" s="521"/>
    </row>
    <row r="1649" spans="1:13" s="17" customFormat="1" ht="16.5" customHeight="1" x14ac:dyDescent="0.25">
      <c r="A1649" s="714" t="s">
        <v>776</v>
      </c>
      <c r="B1649" s="714"/>
      <c r="C1649" s="714"/>
      <c r="D1649" s="714"/>
      <c r="E1649" s="714"/>
      <c r="F1649" s="714"/>
      <c r="G1649" s="714"/>
      <c r="H1649" s="714"/>
      <c r="I1649" s="714"/>
      <c r="K1649" s="521"/>
      <c r="L1649" s="521"/>
      <c r="M1649" s="521"/>
    </row>
    <row r="1650" spans="1:13" s="17" customFormat="1" ht="16.5" customHeight="1" x14ac:dyDescent="0.25">
      <c r="A1650" s="714" t="s">
        <v>777</v>
      </c>
      <c r="B1650" s="714"/>
      <c r="C1650" s="714"/>
      <c r="D1650" s="714"/>
      <c r="E1650" s="714"/>
      <c r="F1650" s="714"/>
      <c r="G1650" s="714"/>
      <c r="H1650" s="714"/>
      <c r="I1650" s="714"/>
      <c r="K1650" s="521"/>
      <c r="L1650" s="521"/>
      <c r="M1650" s="521"/>
    </row>
    <row r="1651" spans="1:13" s="17" customFormat="1" ht="16.5" customHeight="1" x14ac:dyDescent="0.25">
      <c r="A1651" s="714" t="s">
        <v>778</v>
      </c>
      <c r="B1651" s="714"/>
      <c r="C1651" s="714"/>
      <c r="D1651" s="714"/>
      <c r="E1651" s="714"/>
      <c r="F1651" s="714"/>
      <c r="G1651" s="714"/>
      <c r="H1651" s="714"/>
      <c r="I1651" s="714"/>
      <c r="K1651" s="521"/>
      <c r="L1651" s="521"/>
      <c r="M1651" s="521"/>
    </row>
    <row r="1652" spans="1:13" s="17" customFormat="1" ht="16.5" customHeight="1" x14ac:dyDescent="0.25">
      <c r="A1652" s="714" t="s">
        <v>779</v>
      </c>
      <c r="B1652" s="714"/>
      <c r="C1652" s="714"/>
      <c r="D1652" s="714"/>
      <c r="E1652" s="714"/>
      <c r="F1652" s="714"/>
      <c r="G1652" s="714"/>
      <c r="H1652" s="714"/>
      <c r="I1652" s="714"/>
      <c r="K1652" s="521"/>
      <c r="L1652" s="521"/>
      <c r="M1652" s="521"/>
    </row>
    <row r="1653" spans="1:13" s="17" customFormat="1" ht="16.5" customHeight="1" x14ac:dyDescent="0.25">
      <c r="A1653" s="523"/>
      <c r="B1653" s="523"/>
      <c r="C1653" s="523"/>
      <c r="D1653" s="523"/>
      <c r="E1653" s="523"/>
      <c r="F1653" s="523"/>
      <c r="G1653" s="523"/>
      <c r="H1653" s="523"/>
      <c r="I1653" s="523"/>
      <c r="K1653" s="521"/>
      <c r="L1653" s="521"/>
      <c r="M1653" s="521"/>
    </row>
    <row r="1654" spans="1:13" s="17" customFormat="1" ht="16.5" customHeight="1" x14ac:dyDescent="0.25">
      <c r="A1654" s="523"/>
      <c r="B1654" s="523"/>
      <c r="C1654" s="523"/>
      <c r="D1654" s="523"/>
      <c r="E1654" s="523"/>
      <c r="F1654" s="523"/>
      <c r="G1654" s="523"/>
      <c r="H1654" s="523"/>
      <c r="I1654" s="523"/>
      <c r="K1654" s="521"/>
      <c r="L1654" s="521"/>
      <c r="M1654" s="521"/>
    </row>
    <row r="1655" spans="1:13" s="17" customFormat="1" ht="16.5" customHeight="1" x14ac:dyDescent="0.25">
      <c r="A1655" s="677"/>
      <c r="B1655" s="677"/>
      <c r="C1655" s="677"/>
      <c r="D1655" s="677"/>
      <c r="E1655" s="677"/>
      <c r="F1655" s="677"/>
      <c r="G1655" s="677"/>
      <c r="H1655" s="677"/>
      <c r="I1655" s="677"/>
      <c r="K1655" s="675"/>
      <c r="L1655" s="675"/>
      <c r="M1655" s="675"/>
    </row>
    <row r="1656" spans="1:13" s="17" customFormat="1" ht="16.5" customHeight="1" x14ac:dyDescent="0.25">
      <c r="A1656" s="677"/>
      <c r="B1656" s="677"/>
      <c r="C1656" s="677"/>
      <c r="D1656" s="677"/>
      <c r="E1656" s="677"/>
      <c r="F1656" s="677"/>
      <c r="G1656" s="677"/>
      <c r="H1656" s="677"/>
      <c r="I1656" s="677"/>
      <c r="K1656" s="675"/>
      <c r="L1656" s="675"/>
      <c r="M1656" s="675"/>
    </row>
    <row r="1657" spans="1:13" s="17" customFormat="1" ht="16.5" customHeight="1" x14ac:dyDescent="0.25">
      <c r="A1657" s="677"/>
      <c r="B1657" s="677"/>
      <c r="C1657" s="677"/>
      <c r="D1657" s="677"/>
      <c r="E1657" s="677"/>
      <c r="F1657" s="677"/>
      <c r="G1657" s="677"/>
      <c r="H1657" s="677"/>
      <c r="I1657" s="677"/>
      <c r="K1657" s="675"/>
      <c r="L1657" s="675"/>
      <c r="M1657" s="675"/>
    </row>
    <row r="1658" spans="1:13" s="17" customFormat="1" ht="16.5" customHeight="1" x14ac:dyDescent="0.25">
      <c r="A1658" s="523"/>
      <c r="B1658" s="523"/>
      <c r="C1658" s="523"/>
      <c r="D1658" s="523"/>
      <c r="E1658" s="523"/>
      <c r="F1658" s="523"/>
      <c r="G1658" s="523"/>
      <c r="H1658" s="523"/>
      <c r="I1658" s="523"/>
      <c r="K1658" s="521"/>
      <c r="L1658" s="521"/>
      <c r="M1658" s="521"/>
    </row>
    <row r="1659" spans="1:13" s="17" customFormat="1" ht="16.5" customHeight="1" x14ac:dyDescent="0.25">
      <c r="A1659" s="677"/>
      <c r="B1659" s="677"/>
      <c r="C1659" s="677"/>
      <c r="D1659" s="677"/>
      <c r="E1659" s="677"/>
      <c r="F1659" s="677"/>
      <c r="G1659" s="677"/>
      <c r="H1659" s="677"/>
      <c r="I1659" s="677"/>
      <c r="K1659" s="675"/>
      <c r="L1659" s="675"/>
      <c r="M1659" s="675"/>
    </row>
    <row r="1660" spans="1:13" s="17" customFormat="1" ht="16.5" customHeight="1" x14ac:dyDescent="0.25">
      <c r="A1660" s="714"/>
      <c r="B1660" s="714"/>
      <c r="C1660" s="714"/>
      <c r="D1660" s="714"/>
      <c r="E1660" s="714"/>
      <c r="F1660" s="714"/>
      <c r="G1660" s="714"/>
      <c r="H1660" s="714"/>
      <c r="I1660" s="714"/>
      <c r="K1660" s="521"/>
      <c r="L1660" s="521"/>
      <c r="M1660" s="521"/>
    </row>
    <row r="1661" spans="1:13" s="17" customFormat="1" ht="16.5" customHeight="1" x14ac:dyDescent="0.25">
      <c r="A1661" s="523"/>
      <c r="B1661" s="523"/>
      <c r="C1661" s="523"/>
      <c r="D1661" s="523"/>
      <c r="E1661" s="523"/>
      <c r="F1661" s="523"/>
      <c r="G1661" s="523"/>
      <c r="H1661" s="523"/>
      <c r="I1661" s="523"/>
      <c r="K1661" s="521"/>
      <c r="L1661" s="521"/>
      <c r="M1661" s="521"/>
    </row>
    <row r="1662" spans="1:13" s="17" customFormat="1" ht="16.5" customHeight="1" x14ac:dyDescent="0.25">
      <c r="A1662" s="523"/>
      <c r="B1662" s="523"/>
      <c r="C1662" s="523"/>
      <c r="D1662" s="523"/>
      <c r="E1662" s="523"/>
      <c r="F1662" s="523"/>
      <c r="G1662" s="523"/>
      <c r="H1662" s="523"/>
      <c r="I1662" s="409">
        <v>27</v>
      </c>
      <c r="K1662" s="521"/>
      <c r="L1662" s="521"/>
      <c r="M1662" s="521"/>
    </row>
    <row r="1663" spans="1:13" s="17" customFormat="1" ht="16.5" customHeight="1" x14ac:dyDescent="0.25">
      <c r="A1663" s="677"/>
      <c r="B1663" s="677"/>
      <c r="C1663" s="677"/>
      <c r="D1663" s="677"/>
      <c r="E1663" s="677"/>
      <c r="F1663" s="677"/>
      <c r="G1663" s="677"/>
      <c r="H1663" s="677"/>
      <c r="I1663" s="409"/>
      <c r="K1663" s="675"/>
      <c r="L1663" s="675"/>
      <c r="M1663" s="675"/>
    </row>
    <row r="1664" spans="1:13" s="17" customFormat="1" ht="16.5" customHeight="1" x14ac:dyDescent="0.25">
      <c r="A1664" s="677"/>
      <c r="B1664" s="677"/>
      <c r="C1664" s="677"/>
      <c r="D1664" s="677"/>
      <c r="E1664" s="677"/>
      <c r="F1664" s="677"/>
      <c r="G1664" s="677"/>
      <c r="H1664" s="677"/>
      <c r="I1664" s="409"/>
      <c r="K1664" s="675"/>
      <c r="L1664" s="675"/>
      <c r="M1664" s="675"/>
    </row>
    <row r="1665" spans="1:13" s="17" customFormat="1" ht="16.5" customHeight="1" x14ac:dyDescent="0.25">
      <c r="A1665" s="722" t="s">
        <v>426</v>
      </c>
      <c r="B1665" s="722"/>
      <c r="C1665" s="722"/>
      <c r="D1665" s="722"/>
      <c r="E1665" s="722"/>
      <c r="F1665" s="722"/>
      <c r="G1665" s="722"/>
      <c r="H1665" s="722"/>
      <c r="I1665" s="722"/>
      <c r="K1665" s="521"/>
      <c r="L1665" s="521"/>
      <c r="M1665" s="521"/>
    </row>
    <row r="1666" spans="1:13" s="17" customFormat="1" ht="16.5" customHeight="1" x14ac:dyDescent="0.25">
      <c r="A1666" s="529"/>
      <c r="B1666" s="529"/>
      <c r="C1666" s="529"/>
      <c r="D1666" s="529"/>
      <c r="E1666" s="529"/>
      <c r="F1666" s="529"/>
      <c r="G1666" s="529"/>
      <c r="H1666" s="529"/>
      <c r="I1666" s="529"/>
      <c r="K1666" s="521"/>
      <c r="L1666" s="521"/>
      <c r="M1666" s="521"/>
    </row>
    <row r="1667" spans="1:13" s="17" customFormat="1" ht="16.5" customHeight="1" x14ac:dyDescent="0.25">
      <c r="A1667" s="538"/>
      <c r="B1667" s="747" t="s">
        <v>780</v>
      </c>
      <c r="C1667" s="747"/>
      <c r="D1667" s="747"/>
      <c r="E1667" s="747"/>
      <c r="F1667" s="747"/>
      <c r="G1667" s="747"/>
      <c r="H1667" s="747"/>
      <c r="I1667" s="747"/>
      <c r="K1667" s="521"/>
      <c r="L1667" s="521"/>
      <c r="M1667" s="521"/>
    </row>
    <row r="1668" spans="1:13" s="17" customFormat="1" ht="16.5" customHeight="1" x14ac:dyDescent="0.25">
      <c r="A1668" s="747" t="s">
        <v>781</v>
      </c>
      <c r="B1668" s="747"/>
      <c r="C1668" s="747"/>
      <c r="D1668" s="747"/>
      <c r="E1668" s="747"/>
      <c r="F1668" s="747"/>
      <c r="G1668" s="747"/>
      <c r="H1668" s="747"/>
      <c r="I1668" s="747"/>
      <c r="K1668" s="521"/>
      <c r="L1668" s="521"/>
      <c r="M1668" s="521"/>
    </row>
    <row r="1669" spans="1:13" s="17" customFormat="1" ht="16.5" customHeight="1" x14ac:dyDescent="0.25">
      <c r="A1669" s="523"/>
      <c r="B1669" s="523"/>
      <c r="C1669" s="523"/>
      <c r="D1669" s="523"/>
      <c r="E1669" s="701" t="s">
        <v>85</v>
      </c>
      <c r="F1669" s="523"/>
      <c r="G1669" s="523"/>
      <c r="H1669" s="523"/>
      <c r="I1669" s="523"/>
      <c r="K1669" s="521"/>
      <c r="L1669" s="521"/>
      <c r="M1669" s="521"/>
    </row>
    <row r="1670" spans="1:13" s="17" customFormat="1" ht="16.5" customHeight="1" x14ac:dyDescent="0.25">
      <c r="A1670" s="192"/>
      <c r="B1670" s="214"/>
      <c r="C1670" s="15"/>
      <c r="D1670" s="537"/>
      <c r="E1670" s="701"/>
      <c r="F1670" s="537"/>
      <c r="G1670" s="192"/>
      <c r="H1670" s="537"/>
      <c r="I1670" s="537"/>
      <c r="K1670" s="521"/>
      <c r="L1670" s="521"/>
      <c r="M1670" s="521"/>
    </row>
    <row r="1671" spans="1:13" s="17" customFormat="1" ht="16.5" customHeight="1" x14ac:dyDescent="0.25">
      <c r="A1671" s="557" t="s">
        <v>48</v>
      </c>
      <c r="B1671" s="702" t="s">
        <v>49</v>
      </c>
      <c r="C1671" s="703"/>
      <c r="D1671" s="380" t="s">
        <v>86</v>
      </c>
      <c r="E1671" s="530" t="s">
        <v>152</v>
      </c>
      <c r="F1671" s="40" t="s">
        <v>87</v>
      </c>
      <c r="G1671" s="706" t="s">
        <v>52</v>
      </c>
      <c r="H1671" s="707"/>
      <c r="I1671" s="708" t="s">
        <v>53</v>
      </c>
      <c r="K1671" s="521"/>
      <c r="L1671" s="521"/>
      <c r="M1671" s="521"/>
    </row>
    <row r="1672" spans="1:13" s="17" customFormat="1" ht="16.5" customHeight="1" x14ac:dyDescent="0.25">
      <c r="A1672" s="574" t="s">
        <v>88</v>
      </c>
      <c r="B1672" s="704"/>
      <c r="C1672" s="705"/>
      <c r="D1672" s="381" t="s">
        <v>541</v>
      </c>
      <c r="E1672" s="41" t="s">
        <v>573</v>
      </c>
      <c r="F1672" s="41" t="s">
        <v>607</v>
      </c>
      <c r="G1672" s="24" t="s">
        <v>55</v>
      </c>
      <c r="H1672" s="24" t="s">
        <v>56</v>
      </c>
      <c r="I1672" s="709"/>
      <c r="K1672" s="521"/>
      <c r="L1672" s="521"/>
      <c r="M1672" s="521"/>
    </row>
    <row r="1673" spans="1:13" s="17" customFormat="1" ht="16.5" customHeight="1" x14ac:dyDescent="0.25">
      <c r="A1673" s="142">
        <v>1</v>
      </c>
      <c r="B1673" s="710">
        <v>2</v>
      </c>
      <c r="C1673" s="711"/>
      <c r="D1673" s="513">
        <v>3</v>
      </c>
      <c r="E1673" s="129">
        <v>4</v>
      </c>
      <c r="F1673" s="129">
        <v>5</v>
      </c>
      <c r="G1673" s="129">
        <v>6</v>
      </c>
      <c r="H1673" s="129">
        <v>7</v>
      </c>
      <c r="I1673" s="142">
        <v>8</v>
      </c>
      <c r="K1673" s="521"/>
      <c r="L1673" s="521"/>
      <c r="M1673" s="521"/>
    </row>
    <row r="1674" spans="1:13" s="17" customFormat="1" ht="16.5" customHeight="1" x14ac:dyDescent="0.25">
      <c r="A1674" s="81">
        <v>111</v>
      </c>
      <c r="B1674" s="716" t="s">
        <v>184</v>
      </c>
      <c r="C1674" s="717"/>
      <c r="D1674" s="5">
        <f>D664</f>
        <v>17419.099999999999</v>
      </c>
      <c r="E1674" s="452">
        <f>E664</f>
        <v>29709.58</v>
      </c>
      <c r="F1674" s="5">
        <f>F664</f>
        <v>20466.490000000002</v>
      </c>
      <c r="G1674" s="86">
        <f t="shared" ref="G1674:G1679" si="133">F1674/D1674</f>
        <v>1.1749453186444767</v>
      </c>
      <c r="H1674" s="87">
        <f t="shared" ref="H1674:H1679" si="134">F1674/E1674</f>
        <v>0.6888852013390967</v>
      </c>
      <c r="I1674" s="87">
        <f>F1674/F1679</f>
        <v>0.95475005469645446</v>
      </c>
      <c r="K1674" s="521"/>
      <c r="L1674" s="521"/>
      <c r="M1674" s="521"/>
    </row>
    <row r="1675" spans="1:13" s="17" customFormat="1" ht="16.5" customHeight="1" x14ac:dyDescent="0.25">
      <c r="A1675" s="81">
        <v>130</v>
      </c>
      <c r="B1675" s="716" t="s">
        <v>185</v>
      </c>
      <c r="C1675" s="717"/>
      <c r="D1675" s="433">
        <f>D874</f>
        <v>300</v>
      </c>
      <c r="E1675" s="462">
        <f>E874</f>
        <v>1000</v>
      </c>
      <c r="F1675" s="433">
        <f>F874</f>
        <v>970</v>
      </c>
      <c r="G1675" s="86">
        <f t="shared" si="133"/>
        <v>3.2333333333333334</v>
      </c>
      <c r="H1675" s="87">
        <f t="shared" si="134"/>
        <v>0.97</v>
      </c>
      <c r="I1675" s="87">
        <f>F1675/F1679</f>
        <v>4.5249945303545494E-2</v>
      </c>
      <c r="K1675" s="521"/>
      <c r="L1675" s="521"/>
      <c r="M1675" s="521"/>
    </row>
    <row r="1676" spans="1:13" s="17" customFormat="1" ht="16.5" customHeight="1" x14ac:dyDescent="0.25">
      <c r="A1676" s="81">
        <v>132</v>
      </c>
      <c r="B1676" s="716" t="s">
        <v>186</v>
      </c>
      <c r="C1676" s="717"/>
      <c r="D1676" s="5">
        <v>0</v>
      </c>
      <c r="E1676" s="276">
        <f>0+0+0+0+0+0</f>
        <v>0</v>
      </c>
      <c r="F1676" s="5">
        <v>0</v>
      </c>
      <c r="G1676" s="86" t="e">
        <f t="shared" si="133"/>
        <v>#DIV/0!</v>
      </c>
      <c r="H1676" s="87" t="e">
        <f t="shared" si="134"/>
        <v>#DIV/0!</v>
      </c>
      <c r="I1676" s="87">
        <f>F1676/F1679</f>
        <v>0</v>
      </c>
      <c r="K1676" s="521"/>
      <c r="L1676" s="521"/>
      <c r="M1676" s="521"/>
    </row>
    <row r="1677" spans="1:13" s="17" customFormat="1" ht="16.5" customHeight="1" x14ac:dyDescent="0.25">
      <c r="A1677" s="81">
        <v>200</v>
      </c>
      <c r="B1677" s="716" t="s">
        <v>187</v>
      </c>
      <c r="C1677" s="717"/>
      <c r="D1677" s="5">
        <v>0</v>
      </c>
      <c r="E1677" s="277">
        <f>0+0+0+0+0+0</f>
        <v>0</v>
      </c>
      <c r="F1677" s="5">
        <v>0</v>
      </c>
      <c r="G1677" s="86" t="e">
        <f t="shared" si="133"/>
        <v>#DIV/0!</v>
      </c>
      <c r="H1677" s="87" t="e">
        <f t="shared" si="134"/>
        <v>#DIV/0!</v>
      </c>
      <c r="I1677" s="87">
        <f>F1677/F1679</f>
        <v>0</v>
      </c>
      <c r="K1677" s="521"/>
      <c r="L1677" s="521"/>
      <c r="M1677" s="521"/>
    </row>
    <row r="1678" spans="1:13" s="17" customFormat="1" ht="16.5" customHeight="1" x14ac:dyDescent="0.25">
      <c r="A1678" s="81">
        <v>300</v>
      </c>
      <c r="B1678" s="716" t="s">
        <v>188</v>
      </c>
      <c r="C1678" s="717"/>
      <c r="D1678" s="5">
        <v>0</v>
      </c>
      <c r="E1678" s="278">
        <f>0+0+0+0+0</f>
        <v>0</v>
      </c>
      <c r="F1678" s="5">
        <v>0</v>
      </c>
      <c r="G1678" s="86" t="e">
        <f t="shared" si="133"/>
        <v>#DIV/0!</v>
      </c>
      <c r="H1678" s="87" t="e">
        <f t="shared" si="134"/>
        <v>#DIV/0!</v>
      </c>
      <c r="I1678" s="87">
        <f>F1678/F1679</f>
        <v>0</v>
      </c>
      <c r="K1678" s="521"/>
      <c r="L1678" s="521"/>
      <c r="M1678" s="521"/>
    </row>
    <row r="1679" spans="1:13" s="17" customFormat="1" ht="16.5" customHeight="1" x14ac:dyDescent="0.25">
      <c r="A1679" s="146"/>
      <c r="B1679" s="718" t="s">
        <v>84</v>
      </c>
      <c r="C1679" s="719"/>
      <c r="D1679" s="471">
        <f>D1674+D1675+D1676+D1677+D1678</f>
        <v>17719.099999999999</v>
      </c>
      <c r="E1679" s="471">
        <f>E1674+E1675+E1676+E1677+E1678</f>
        <v>30709.58</v>
      </c>
      <c r="F1679" s="383">
        <f>F1674+F1675+F1676+F1677+F1678</f>
        <v>21436.49</v>
      </c>
      <c r="G1679" s="169">
        <f t="shared" si="133"/>
        <v>1.2097956442482973</v>
      </c>
      <c r="H1679" s="137">
        <f t="shared" si="134"/>
        <v>0.69803917865369702</v>
      </c>
      <c r="I1679" s="174">
        <f>SUM(I1674:I1678)</f>
        <v>1</v>
      </c>
      <c r="K1679" s="521"/>
      <c r="L1679" s="521"/>
      <c r="M1679" s="521"/>
    </row>
    <row r="1680" spans="1:13" s="17" customFormat="1" ht="16.5" customHeight="1" x14ac:dyDescent="0.25">
      <c r="A1680" s="227"/>
      <c r="B1680" s="584"/>
      <c r="C1680" s="272"/>
      <c r="D1680" s="272"/>
      <c r="E1680" s="160"/>
      <c r="F1680" s="161"/>
      <c r="G1680" s="162"/>
      <c r="H1680" s="258"/>
      <c r="I1680" s="279"/>
      <c r="K1680" s="521"/>
      <c r="L1680" s="521"/>
      <c r="M1680" s="521"/>
    </row>
    <row r="1681" spans="1:13" s="17" customFormat="1" ht="16.5" customHeight="1" x14ac:dyDescent="0.25">
      <c r="A1681" s="586" t="s">
        <v>782</v>
      </c>
      <c r="B1681" s="586"/>
      <c r="C1681" s="586"/>
      <c r="D1681" s="586"/>
      <c r="E1681" s="586"/>
      <c r="F1681" s="586"/>
      <c r="G1681" s="586"/>
      <c r="H1681" s="586"/>
      <c r="I1681" s="586"/>
      <c r="K1681" s="521"/>
      <c r="L1681" s="521"/>
      <c r="M1681" s="521"/>
    </row>
    <row r="1682" spans="1:13" s="17" customFormat="1" ht="12" customHeight="1" x14ac:dyDescent="0.25">
      <c r="A1682" s="714" t="s">
        <v>783</v>
      </c>
      <c r="B1682" s="714"/>
      <c r="C1682" s="714"/>
      <c r="D1682" s="714"/>
      <c r="E1682" s="714"/>
      <c r="F1682" s="714"/>
      <c r="G1682" s="714"/>
      <c r="H1682" s="714"/>
      <c r="I1682" s="714"/>
      <c r="K1682" s="521"/>
      <c r="L1682" s="521"/>
      <c r="M1682" s="521"/>
    </row>
    <row r="1683" spans="1:13" s="17" customFormat="1" ht="12" customHeight="1" x14ac:dyDescent="0.25">
      <c r="A1683" s="537" t="s">
        <v>784</v>
      </c>
      <c r="B1683" s="537"/>
      <c r="C1683" s="537"/>
      <c r="D1683" s="537"/>
      <c r="E1683" s="537"/>
      <c r="F1683" s="537"/>
      <c r="G1683" s="537"/>
      <c r="H1683" s="537"/>
      <c r="I1683" s="537"/>
      <c r="K1683" s="521"/>
      <c r="L1683" s="521"/>
      <c r="M1683" s="521"/>
    </row>
    <row r="1684" spans="1:13" s="17" customFormat="1" ht="16.5" customHeight="1" x14ac:dyDescent="0.25">
      <c r="A1684" s="714" t="s">
        <v>785</v>
      </c>
      <c r="B1684" s="714"/>
      <c r="C1684" s="714"/>
      <c r="D1684" s="714"/>
      <c r="E1684" s="714"/>
      <c r="F1684" s="714"/>
      <c r="G1684" s="714"/>
      <c r="H1684" s="714"/>
      <c r="I1684" s="714"/>
      <c r="K1684" s="521"/>
      <c r="L1684" s="521"/>
      <c r="M1684" s="521"/>
    </row>
    <row r="1685" spans="1:13" s="17" customFormat="1" ht="16.5" customHeight="1" x14ac:dyDescent="0.25">
      <c r="A1685" s="714" t="s">
        <v>786</v>
      </c>
      <c r="B1685" s="714"/>
      <c r="C1685" s="714"/>
      <c r="D1685" s="714"/>
      <c r="E1685" s="714"/>
      <c r="F1685" s="714"/>
      <c r="G1685" s="714"/>
      <c r="H1685" s="714"/>
      <c r="I1685" s="714"/>
      <c r="K1685" s="521"/>
      <c r="L1685" s="521"/>
      <c r="M1685" s="521"/>
    </row>
    <row r="1686" spans="1:13" s="17" customFormat="1" ht="16.5" customHeight="1" x14ac:dyDescent="0.25">
      <c r="A1686" s="523"/>
      <c r="B1686" s="523"/>
      <c r="C1686" s="523"/>
      <c r="D1686" s="523"/>
      <c r="E1686" s="523"/>
      <c r="F1686" s="523"/>
      <c r="G1686" s="523"/>
      <c r="H1686" s="523"/>
      <c r="I1686" s="216"/>
      <c r="K1686" s="521"/>
      <c r="L1686" s="521"/>
      <c r="M1686" s="521"/>
    </row>
    <row r="1687" spans="1:13" s="17" customFormat="1" ht="16.5" customHeight="1" x14ac:dyDescent="0.25">
      <c r="A1687" s="22" t="s">
        <v>427</v>
      </c>
      <c r="B1687" s="336"/>
      <c r="C1687" s="336"/>
      <c r="D1687" s="22"/>
      <c r="E1687" s="22"/>
      <c r="F1687" s="22"/>
      <c r="G1687" s="22"/>
      <c r="H1687" s="22"/>
      <c r="I1687" s="22"/>
      <c r="K1687" s="521"/>
      <c r="L1687" s="521"/>
      <c r="M1687" s="521"/>
    </row>
    <row r="1688" spans="1:13" s="17" customFormat="1" ht="16.5" customHeight="1" x14ac:dyDescent="0.25">
      <c r="A1688" s="541"/>
      <c r="B1688" s="541"/>
      <c r="C1688" s="541"/>
      <c r="D1688" s="541"/>
      <c r="E1688" s="541"/>
      <c r="F1688" s="541"/>
      <c r="G1688" s="541"/>
      <c r="H1688" s="260"/>
      <c r="I1688" s="245"/>
      <c r="K1688" s="521"/>
      <c r="L1688" s="521"/>
      <c r="M1688" s="521"/>
    </row>
    <row r="1689" spans="1:13" s="17" customFormat="1" ht="16.5" customHeight="1" x14ac:dyDescent="0.25">
      <c r="A1689" s="524"/>
      <c r="B1689" s="720" t="s">
        <v>787</v>
      </c>
      <c r="C1689" s="720"/>
      <c r="D1689" s="720"/>
      <c r="E1689" s="720"/>
      <c r="F1689" s="720"/>
      <c r="G1689" s="720"/>
      <c r="H1689" s="720"/>
      <c r="I1689" s="720"/>
      <c r="K1689" s="521"/>
      <c r="L1689" s="521"/>
      <c r="M1689" s="521"/>
    </row>
    <row r="1690" spans="1:13" s="17" customFormat="1" ht="16.5" customHeight="1" x14ac:dyDescent="0.25">
      <c r="A1690" s="720" t="s">
        <v>788</v>
      </c>
      <c r="B1690" s="720"/>
      <c r="C1690" s="720"/>
      <c r="D1690" s="720"/>
      <c r="E1690" s="720"/>
      <c r="F1690" s="720"/>
      <c r="G1690" s="720"/>
      <c r="H1690" s="720"/>
      <c r="I1690" s="720"/>
      <c r="K1690" s="521"/>
      <c r="L1690" s="521"/>
      <c r="M1690" s="521"/>
    </row>
    <row r="1691" spans="1:13" s="17" customFormat="1" ht="16.5" customHeight="1" x14ac:dyDescent="0.25">
      <c r="A1691" s="523"/>
      <c r="B1691" s="523"/>
      <c r="C1691" s="523"/>
      <c r="D1691" s="523"/>
      <c r="E1691" s="701" t="s">
        <v>85</v>
      </c>
      <c r="F1691" s="523"/>
      <c r="G1691" s="523"/>
      <c r="H1691" s="523"/>
      <c r="I1691" s="523"/>
      <c r="K1691" s="521"/>
      <c r="L1691" s="521"/>
      <c r="M1691" s="521"/>
    </row>
    <row r="1692" spans="1:13" s="17" customFormat="1" ht="16.5" customHeight="1" x14ac:dyDescent="0.25">
      <c r="A1692" s="192"/>
      <c r="B1692" s="214"/>
      <c r="C1692" s="15"/>
      <c r="D1692" s="537"/>
      <c r="E1692" s="701"/>
      <c r="F1692" s="537"/>
      <c r="G1692" s="192"/>
      <c r="H1692" s="537"/>
      <c r="I1692" s="537"/>
      <c r="K1692" s="521"/>
      <c r="L1692" s="521"/>
      <c r="M1692" s="521"/>
    </row>
    <row r="1693" spans="1:13" s="17" customFormat="1" ht="16.5" customHeight="1" x14ac:dyDescent="0.25">
      <c r="A1693" s="557" t="s">
        <v>48</v>
      </c>
      <c r="B1693" s="702" t="s">
        <v>49</v>
      </c>
      <c r="C1693" s="703"/>
      <c r="D1693" s="380" t="s">
        <v>86</v>
      </c>
      <c r="E1693" s="530" t="s">
        <v>152</v>
      </c>
      <c r="F1693" s="40" t="s">
        <v>87</v>
      </c>
      <c r="G1693" s="706" t="s">
        <v>52</v>
      </c>
      <c r="H1693" s="707"/>
      <c r="I1693" s="708" t="s">
        <v>53</v>
      </c>
      <c r="K1693" s="521"/>
      <c r="L1693" s="521"/>
      <c r="M1693" s="521"/>
    </row>
    <row r="1694" spans="1:13" s="17" customFormat="1" ht="16.5" customHeight="1" x14ac:dyDescent="0.25">
      <c r="A1694" s="574" t="s">
        <v>88</v>
      </c>
      <c r="B1694" s="704"/>
      <c r="C1694" s="705"/>
      <c r="D1694" s="381" t="s">
        <v>541</v>
      </c>
      <c r="E1694" s="41" t="s">
        <v>573</v>
      </c>
      <c r="F1694" s="41" t="s">
        <v>607</v>
      </c>
      <c r="G1694" s="24" t="s">
        <v>55</v>
      </c>
      <c r="H1694" s="24" t="s">
        <v>56</v>
      </c>
      <c r="I1694" s="709"/>
      <c r="K1694" s="521"/>
      <c r="L1694" s="521"/>
      <c r="M1694" s="521"/>
    </row>
    <row r="1695" spans="1:13" s="17" customFormat="1" ht="16.5" customHeight="1" x14ac:dyDescent="0.25">
      <c r="A1695" s="142">
        <v>1</v>
      </c>
      <c r="B1695" s="710">
        <v>2</v>
      </c>
      <c r="C1695" s="711"/>
      <c r="D1695" s="513">
        <v>3</v>
      </c>
      <c r="E1695" s="129">
        <v>4</v>
      </c>
      <c r="F1695" s="129">
        <v>5</v>
      </c>
      <c r="G1695" s="129">
        <v>6</v>
      </c>
      <c r="H1695" s="129">
        <v>7</v>
      </c>
      <c r="I1695" s="142">
        <v>8</v>
      </c>
      <c r="K1695" s="521"/>
      <c r="L1695" s="521"/>
      <c r="M1695" s="521"/>
    </row>
    <row r="1696" spans="1:13" s="17" customFormat="1" ht="16.5" customHeight="1" x14ac:dyDescent="0.25">
      <c r="A1696" s="81">
        <v>111</v>
      </c>
      <c r="B1696" s="716" t="s">
        <v>184</v>
      </c>
      <c r="C1696" s="717"/>
      <c r="D1696" s="5">
        <f>D665</f>
        <v>192516.47</v>
      </c>
      <c r="E1696" s="452">
        <f>E665</f>
        <v>229856.86</v>
      </c>
      <c r="F1696" s="5">
        <f>F665</f>
        <v>171069.73</v>
      </c>
      <c r="G1696" s="86">
        <f t="shared" ref="G1696:G1701" si="135">F1696/D1696</f>
        <v>0.88859789502685149</v>
      </c>
      <c r="H1696" s="87">
        <f t="shared" ref="H1696:H1701" si="136">F1696/E1696</f>
        <v>0.74424461380008422</v>
      </c>
      <c r="I1696" s="87">
        <f>F1696/F1701</f>
        <v>0.91458401598447525</v>
      </c>
      <c r="K1696" s="521"/>
      <c r="L1696" s="521"/>
      <c r="M1696" s="521"/>
    </row>
    <row r="1697" spans="1:13" s="17" customFormat="1" ht="16.5" customHeight="1" x14ac:dyDescent="0.25">
      <c r="A1697" s="81">
        <v>130</v>
      </c>
      <c r="B1697" s="716" t="s">
        <v>185</v>
      </c>
      <c r="C1697" s="717"/>
      <c r="D1697" s="434">
        <f>D875</f>
        <v>7168.2</v>
      </c>
      <c r="E1697" s="462">
        <f>E875</f>
        <v>54000</v>
      </c>
      <c r="F1697" s="434">
        <f>F875</f>
        <v>15976.76</v>
      </c>
      <c r="G1697" s="86">
        <f t="shared" si="135"/>
        <v>2.2288384810691668</v>
      </c>
      <c r="H1697" s="87">
        <f t="shared" si="136"/>
        <v>0.29586592592592592</v>
      </c>
      <c r="I1697" s="87">
        <f>F1697/F1701</f>
        <v>8.5415984015524693E-2</v>
      </c>
      <c r="K1697" s="521"/>
      <c r="L1697" s="521"/>
      <c r="M1697" s="521"/>
    </row>
    <row r="1698" spans="1:13" s="17" customFormat="1" ht="16.5" customHeight="1" x14ac:dyDescent="0.25">
      <c r="A1698" s="81">
        <v>132</v>
      </c>
      <c r="B1698" s="716" t="s">
        <v>186</v>
      </c>
      <c r="C1698" s="717"/>
      <c r="D1698" s="5">
        <v>0</v>
      </c>
      <c r="E1698" s="276">
        <f>0+0+0+0+0+0</f>
        <v>0</v>
      </c>
      <c r="F1698" s="5">
        <v>0</v>
      </c>
      <c r="G1698" s="86" t="e">
        <f t="shared" si="135"/>
        <v>#DIV/0!</v>
      </c>
      <c r="H1698" s="87" t="e">
        <f t="shared" si="136"/>
        <v>#DIV/0!</v>
      </c>
      <c r="I1698" s="87">
        <f>F1698/F1701</f>
        <v>0</v>
      </c>
      <c r="K1698" s="521"/>
      <c r="L1698" s="521"/>
      <c r="M1698" s="521"/>
    </row>
    <row r="1699" spans="1:13" s="17" customFormat="1" ht="16.5" customHeight="1" x14ac:dyDescent="0.25">
      <c r="A1699" s="81">
        <v>200</v>
      </c>
      <c r="B1699" s="716" t="s">
        <v>187</v>
      </c>
      <c r="C1699" s="717"/>
      <c r="D1699" s="5">
        <v>0</v>
      </c>
      <c r="E1699" s="277">
        <f>0+0+0+0+0+0</f>
        <v>0</v>
      </c>
      <c r="F1699" s="5">
        <v>0</v>
      </c>
      <c r="G1699" s="86" t="e">
        <f t="shared" si="135"/>
        <v>#DIV/0!</v>
      </c>
      <c r="H1699" s="87" t="e">
        <f t="shared" si="136"/>
        <v>#DIV/0!</v>
      </c>
      <c r="I1699" s="87">
        <f>F1699/F1701</f>
        <v>0</v>
      </c>
      <c r="K1699" s="521"/>
      <c r="L1699" s="521"/>
      <c r="M1699" s="521"/>
    </row>
    <row r="1700" spans="1:13" s="17" customFormat="1" ht="16.5" customHeight="1" x14ac:dyDescent="0.25">
      <c r="A1700" s="81">
        <v>300</v>
      </c>
      <c r="B1700" s="716" t="s">
        <v>188</v>
      </c>
      <c r="C1700" s="717"/>
      <c r="D1700" s="5">
        <v>0</v>
      </c>
      <c r="E1700" s="278">
        <f>0+0+0+0+0+0</f>
        <v>0</v>
      </c>
      <c r="F1700" s="5">
        <v>0</v>
      </c>
      <c r="G1700" s="86" t="e">
        <f t="shared" si="135"/>
        <v>#DIV/0!</v>
      </c>
      <c r="H1700" s="87" t="e">
        <f t="shared" si="136"/>
        <v>#DIV/0!</v>
      </c>
      <c r="I1700" s="87">
        <f>F1700/F1701</f>
        <v>0</v>
      </c>
      <c r="K1700" s="521"/>
      <c r="L1700" s="521"/>
      <c r="M1700" s="521"/>
    </row>
    <row r="1701" spans="1:13" s="17" customFormat="1" ht="16.5" customHeight="1" x14ac:dyDescent="0.25">
      <c r="A1701" s="146"/>
      <c r="B1701" s="718" t="s">
        <v>84</v>
      </c>
      <c r="C1701" s="719"/>
      <c r="D1701" s="471">
        <f>D1696+D1697+D1698+D1699+D1700</f>
        <v>199684.67</v>
      </c>
      <c r="E1701" s="471">
        <f>E1696+E1697+E1698+E1699+E1700</f>
        <v>283856.86</v>
      </c>
      <c r="F1701" s="383">
        <f>F1696+F1697+F1698+F1699+F1700</f>
        <v>187046.49000000002</v>
      </c>
      <c r="G1701" s="169">
        <f t="shared" si="135"/>
        <v>0.93670931273792835</v>
      </c>
      <c r="H1701" s="137">
        <f t="shared" si="136"/>
        <v>0.65894651973533436</v>
      </c>
      <c r="I1701" s="174">
        <f>SUM(I1696:I1700)</f>
        <v>1</v>
      </c>
      <c r="K1701" s="521"/>
      <c r="L1701" s="521"/>
      <c r="M1701" s="521"/>
    </row>
    <row r="1702" spans="1:13" s="17" customFormat="1" ht="16.5" customHeight="1" x14ac:dyDescent="0.25">
      <c r="A1702" s="538"/>
      <c r="B1702" s="538"/>
      <c r="C1702" s="538"/>
      <c r="D1702" s="538"/>
      <c r="E1702" s="538"/>
      <c r="F1702" s="538"/>
      <c r="G1702" s="537"/>
      <c r="H1702" s="541"/>
      <c r="I1702" s="245"/>
      <c r="K1702" s="521"/>
      <c r="L1702" s="521"/>
      <c r="M1702" s="521"/>
    </row>
    <row r="1703" spans="1:13" s="17" customFormat="1" ht="16.5" customHeight="1" x14ac:dyDescent="0.25">
      <c r="A1703" s="724" t="s">
        <v>789</v>
      </c>
      <c r="B1703" s="724"/>
      <c r="C1703" s="724"/>
      <c r="D1703" s="724"/>
      <c r="E1703" s="724"/>
      <c r="F1703" s="724"/>
      <c r="G1703" s="724"/>
      <c r="H1703" s="724"/>
      <c r="I1703" s="724"/>
      <c r="K1703" s="521"/>
      <c r="L1703" s="521"/>
      <c r="M1703" s="521"/>
    </row>
    <row r="1704" spans="1:13" s="17" customFormat="1" ht="16.5" customHeight="1" x14ac:dyDescent="0.25">
      <c r="A1704" s="714" t="s">
        <v>790</v>
      </c>
      <c r="B1704" s="714"/>
      <c r="C1704" s="714"/>
      <c r="D1704" s="714"/>
      <c r="E1704" s="714"/>
      <c r="F1704" s="714"/>
      <c r="G1704" s="714"/>
      <c r="H1704" s="714"/>
      <c r="I1704" s="714"/>
      <c r="K1704" s="521"/>
      <c r="L1704" s="521"/>
      <c r="M1704" s="521"/>
    </row>
    <row r="1705" spans="1:13" s="17" customFormat="1" ht="16.5" customHeight="1" x14ac:dyDescent="0.25">
      <c r="A1705" s="714" t="s">
        <v>791</v>
      </c>
      <c r="B1705" s="714"/>
      <c r="C1705" s="714"/>
      <c r="D1705" s="714"/>
      <c r="E1705" s="714"/>
      <c r="F1705" s="714"/>
      <c r="G1705" s="714"/>
      <c r="H1705" s="714"/>
      <c r="I1705" s="714"/>
      <c r="K1705" s="521"/>
      <c r="L1705" s="521"/>
      <c r="M1705" s="521"/>
    </row>
    <row r="1706" spans="1:13" s="17" customFormat="1" ht="16.5" customHeight="1" x14ac:dyDescent="0.25">
      <c r="A1706" s="714" t="s">
        <v>792</v>
      </c>
      <c r="B1706" s="714"/>
      <c r="C1706" s="714"/>
      <c r="D1706" s="714"/>
      <c r="E1706" s="714"/>
      <c r="F1706" s="714"/>
      <c r="G1706" s="714"/>
      <c r="H1706" s="714"/>
      <c r="I1706" s="714"/>
      <c r="K1706" s="521"/>
      <c r="L1706" s="521"/>
      <c r="M1706" s="521"/>
    </row>
    <row r="1707" spans="1:13" s="17" customFormat="1" ht="16.5" customHeight="1" x14ac:dyDescent="0.25">
      <c r="A1707" s="720" t="s">
        <v>793</v>
      </c>
      <c r="B1707" s="720"/>
      <c r="C1707" s="720"/>
      <c r="D1707" s="720"/>
      <c r="E1707" s="720"/>
      <c r="F1707" s="720"/>
      <c r="G1707" s="720"/>
      <c r="H1707" s="720"/>
      <c r="I1707" s="720"/>
      <c r="K1707" s="521"/>
      <c r="L1707" s="521"/>
      <c r="M1707" s="521"/>
    </row>
    <row r="1708" spans="1:13" s="17" customFormat="1" ht="16.5" customHeight="1" x14ac:dyDescent="0.25">
      <c r="A1708" s="720" t="s">
        <v>794</v>
      </c>
      <c r="B1708" s="720"/>
      <c r="C1708" s="720"/>
      <c r="D1708" s="720"/>
      <c r="E1708" s="720"/>
      <c r="F1708" s="720"/>
      <c r="G1708" s="720"/>
      <c r="H1708" s="720"/>
      <c r="I1708" s="720"/>
      <c r="K1708" s="521"/>
      <c r="L1708" s="521"/>
      <c r="M1708" s="521"/>
    </row>
    <row r="1709" spans="1:13" s="17" customFormat="1" ht="16.5" customHeight="1" x14ac:dyDescent="0.25">
      <c r="A1709" s="524"/>
      <c r="B1709" s="524"/>
      <c r="C1709" s="524"/>
      <c r="D1709" s="524"/>
      <c r="E1709" s="524"/>
      <c r="F1709" s="524"/>
      <c r="G1709" s="524"/>
      <c r="H1709" s="524"/>
      <c r="I1709" s="524"/>
      <c r="K1709" s="521"/>
      <c r="L1709" s="521"/>
      <c r="M1709" s="521"/>
    </row>
    <row r="1710" spans="1:13" s="17" customFormat="1" ht="16.5" customHeight="1" x14ac:dyDescent="0.25">
      <c r="A1710" s="524"/>
      <c r="B1710" s="524"/>
      <c r="C1710" s="524"/>
      <c r="D1710" s="524"/>
      <c r="E1710" s="524"/>
      <c r="F1710" s="524"/>
      <c r="G1710" s="524"/>
      <c r="H1710" s="524"/>
      <c r="I1710" s="524"/>
      <c r="K1710" s="521"/>
      <c r="L1710" s="521"/>
      <c r="M1710" s="521"/>
    </row>
    <row r="1711" spans="1:13" s="17" customFormat="1" ht="16.5" customHeight="1" x14ac:dyDescent="0.25">
      <c r="A1711" s="524"/>
      <c r="B1711" s="524"/>
      <c r="C1711" s="524"/>
      <c r="D1711" s="524"/>
      <c r="E1711" s="524"/>
      <c r="F1711" s="524"/>
      <c r="G1711" s="524"/>
      <c r="H1711" s="524"/>
      <c r="I1711" s="524"/>
      <c r="K1711" s="521"/>
      <c r="L1711" s="521"/>
      <c r="M1711" s="521"/>
    </row>
    <row r="1712" spans="1:13" s="17" customFormat="1" ht="16.5" customHeight="1" x14ac:dyDescent="0.25">
      <c r="A1712" s="524"/>
      <c r="B1712" s="524"/>
      <c r="C1712" s="524"/>
      <c r="D1712" s="524"/>
      <c r="E1712" s="524"/>
      <c r="F1712" s="524"/>
      <c r="G1712" s="524"/>
      <c r="H1712" s="524"/>
      <c r="I1712" s="524"/>
      <c r="K1712" s="521"/>
      <c r="L1712" s="521"/>
      <c r="M1712" s="521"/>
    </row>
    <row r="1713" spans="1:13" s="17" customFormat="1" ht="16.5" customHeight="1" x14ac:dyDescent="0.25">
      <c r="A1713" s="524"/>
      <c r="B1713" s="524"/>
      <c r="C1713" s="524"/>
      <c r="D1713" s="524"/>
      <c r="E1713" s="524"/>
      <c r="F1713" s="524"/>
      <c r="G1713" s="524"/>
      <c r="H1713" s="524"/>
      <c r="I1713" s="524"/>
      <c r="K1713" s="521"/>
      <c r="L1713" s="521"/>
      <c r="M1713" s="521"/>
    </row>
    <row r="1714" spans="1:13" s="17" customFormat="1" ht="16.5" customHeight="1" x14ac:dyDescent="0.25">
      <c r="A1714" s="670"/>
      <c r="B1714" s="670"/>
      <c r="C1714" s="670"/>
      <c r="D1714" s="670"/>
      <c r="E1714" s="670"/>
      <c r="F1714" s="670"/>
      <c r="G1714" s="670"/>
      <c r="H1714" s="670"/>
      <c r="I1714" s="670"/>
      <c r="K1714" s="675"/>
      <c r="L1714" s="675"/>
      <c r="M1714" s="675"/>
    </row>
    <row r="1715" spans="1:13" s="17" customFormat="1" ht="16.5" customHeight="1" x14ac:dyDescent="0.25">
      <c r="A1715" s="524"/>
      <c r="B1715" s="524"/>
      <c r="C1715" s="524"/>
      <c r="D1715" s="524"/>
      <c r="E1715" s="524"/>
      <c r="F1715" s="524"/>
      <c r="G1715" s="524"/>
      <c r="H1715" s="524"/>
      <c r="I1715" s="524"/>
      <c r="K1715" s="521"/>
      <c r="L1715" s="521"/>
      <c r="M1715" s="521"/>
    </row>
    <row r="1716" spans="1:13" s="17" customFormat="1" ht="16.5" customHeight="1" x14ac:dyDescent="0.25">
      <c r="A1716" s="524"/>
      <c r="B1716" s="524"/>
      <c r="C1716" s="524"/>
      <c r="D1716" s="524"/>
      <c r="E1716" s="524"/>
      <c r="F1716" s="524"/>
      <c r="G1716" s="524"/>
      <c r="H1716" s="524"/>
      <c r="I1716" s="524"/>
      <c r="K1716" s="521"/>
      <c r="L1716" s="521"/>
      <c r="M1716" s="521"/>
    </row>
    <row r="1717" spans="1:13" s="17" customFormat="1" ht="16.5" customHeight="1" x14ac:dyDescent="0.25">
      <c r="A1717" s="524"/>
      <c r="B1717" s="524"/>
      <c r="C1717" s="524"/>
      <c r="D1717" s="524"/>
      <c r="E1717" s="524"/>
      <c r="F1717" s="524"/>
      <c r="G1717" s="524"/>
      <c r="H1717" s="524"/>
      <c r="I1717" s="524"/>
      <c r="K1717" s="521"/>
      <c r="L1717" s="521"/>
      <c r="M1717" s="521"/>
    </row>
    <row r="1718" spans="1:13" s="17" customFormat="1" ht="16.5" customHeight="1" x14ac:dyDescent="0.25">
      <c r="A1718" s="524"/>
      <c r="B1718" s="524"/>
      <c r="C1718" s="524"/>
      <c r="D1718" s="524"/>
      <c r="E1718" s="524"/>
      <c r="F1718" s="524"/>
      <c r="G1718" s="524"/>
      <c r="H1718" s="524"/>
      <c r="I1718" s="524"/>
      <c r="K1718" s="521"/>
      <c r="L1718" s="521"/>
      <c r="M1718" s="521"/>
    </row>
    <row r="1719" spans="1:13" s="17" customFormat="1" ht="16.5" customHeight="1" x14ac:dyDescent="0.25">
      <c r="A1719" s="524"/>
      <c r="B1719" s="524"/>
      <c r="C1719" s="524"/>
      <c r="D1719" s="524"/>
      <c r="E1719" s="524"/>
      <c r="F1719" s="524"/>
      <c r="G1719" s="524"/>
      <c r="H1719" s="524"/>
      <c r="I1719" s="524"/>
      <c r="K1719" s="521"/>
      <c r="L1719" s="521"/>
      <c r="M1719" s="521"/>
    </row>
    <row r="1720" spans="1:13" s="17" customFormat="1" ht="16.5" customHeight="1" x14ac:dyDescent="0.25">
      <c r="A1720" s="670"/>
      <c r="B1720" s="670"/>
      <c r="C1720" s="670"/>
      <c r="D1720" s="670"/>
      <c r="E1720" s="670"/>
      <c r="F1720" s="670"/>
      <c r="G1720" s="670"/>
      <c r="H1720" s="670"/>
      <c r="I1720" s="670"/>
      <c r="K1720" s="675"/>
      <c r="L1720" s="675"/>
      <c r="M1720" s="675"/>
    </row>
    <row r="1721" spans="1:13" s="17" customFormat="1" ht="12" customHeight="1" x14ac:dyDescent="0.25">
      <c r="A1721" s="524"/>
      <c r="B1721" s="524"/>
      <c r="C1721" s="524"/>
      <c r="D1721" s="524"/>
      <c r="E1721" s="524"/>
      <c r="F1721" s="524"/>
      <c r="G1721" s="524"/>
      <c r="H1721" s="524"/>
      <c r="I1721" s="524"/>
      <c r="K1721" s="521"/>
      <c r="L1721" s="521"/>
      <c r="M1721" s="521"/>
    </row>
    <row r="1722" spans="1:13" s="17" customFormat="1" ht="12" customHeight="1" x14ac:dyDescent="0.25">
      <c r="A1722" s="524"/>
      <c r="B1722" s="524"/>
      <c r="C1722" s="524"/>
      <c r="D1722" s="524"/>
      <c r="E1722" s="524"/>
      <c r="F1722" s="524"/>
      <c r="G1722" s="524"/>
      <c r="H1722" s="524"/>
      <c r="I1722" s="408">
        <v>28</v>
      </c>
      <c r="K1722" s="521"/>
      <c r="L1722" s="521"/>
      <c r="M1722" s="521"/>
    </row>
    <row r="1723" spans="1:13" s="17" customFormat="1" ht="12" customHeight="1" x14ac:dyDescent="0.25">
      <c r="A1723" s="670"/>
      <c r="B1723" s="670"/>
      <c r="C1723" s="670"/>
      <c r="D1723" s="670"/>
      <c r="E1723" s="670"/>
      <c r="F1723" s="670"/>
      <c r="G1723" s="670"/>
      <c r="H1723" s="670"/>
      <c r="I1723" s="408"/>
      <c r="K1723" s="675"/>
      <c r="L1723" s="675"/>
      <c r="M1723" s="675"/>
    </row>
    <row r="1724" spans="1:13" s="17" customFormat="1" ht="12" customHeight="1" x14ac:dyDescent="0.25">
      <c r="A1724" s="670"/>
      <c r="B1724" s="670"/>
      <c r="C1724" s="670"/>
      <c r="D1724" s="670"/>
      <c r="E1724" s="670"/>
      <c r="F1724" s="670"/>
      <c r="G1724" s="670"/>
      <c r="H1724" s="670"/>
      <c r="I1724" s="408"/>
      <c r="K1724" s="675"/>
      <c r="L1724" s="675"/>
      <c r="M1724" s="675"/>
    </row>
    <row r="1725" spans="1:13" s="17" customFormat="1" ht="16.5" customHeight="1" x14ac:dyDescent="0.3">
      <c r="B1725" s="335" t="s">
        <v>428</v>
      </c>
      <c r="C1725" s="388"/>
      <c r="I1725" s="245"/>
      <c r="K1725" s="521"/>
      <c r="L1725" s="521"/>
      <c r="M1725" s="521"/>
    </row>
    <row r="1726" spans="1:13" s="17" customFormat="1" ht="16.5" customHeight="1" x14ac:dyDescent="0.25">
      <c r="I1726" s="245"/>
      <c r="K1726" s="521"/>
      <c r="L1726" s="521"/>
      <c r="M1726" s="521"/>
    </row>
    <row r="1727" spans="1:13" s="17" customFormat="1" ht="16.5" customHeight="1" x14ac:dyDescent="0.25">
      <c r="A1727" s="541"/>
      <c r="B1727" s="720" t="s">
        <v>795</v>
      </c>
      <c r="C1727" s="720"/>
      <c r="D1727" s="720"/>
      <c r="E1727" s="720"/>
      <c r="F1727" s="720"/>
      <c r="G1727" s="720"/>
      <c r="H1727" s="720"/>
      <c r="I1727" s="720"/>
      <c r="K1727" s="521"/>
      <c r="L1727" s="521"/>
      <c r="M1727" s="521"/>
    </row>
    <row r="1728" spans="1:13" s="17" customFormat="1" ht="16.5" customHeight="1" x14ac:dyDescent="0.25">
      <c r="A1728" s="720" t="s">
        <v>796</v>
      </c>
      <c r="B1728" s="720"/>
      <c r="C1728" s="720"/>
      <c r="D1728" s="720"/>
      <c r="E1728" s="720"/>
      <c r="F1728" s="720"/>
      <c r="G1728" s="720"/>
      <c r="H1728" s="720"/>
      <c r="I1728" s="720"/>
      <c r="K1728" s="521"/>
      <c r="L1728" s="521"/>
      <c r="M1728" s="521"/>
    </row>
    <row r="1729" spans="1:13" s="17" customFormat="1" ht="16.5" customHeight="1" x14ac:dyDescent="0.25">
      <c r="A1729" s="720" t="s">
        <v>797</v>
      </c>
      <c r="B1729" s="720"/>
      <c r="C1729" s="720"/>
      <c r="D1729" s="720"/>
      <c r="E1729" s="720"/>
      <c r="F1729" s="720"/>
      <c r="G1729" s="720"/>
      <c r="H1729" s="720"/>
      <c r="I1729" s="720"/>
      <c r="K1729" s="521"/>
      <c r="L1729" s="521"/>
      <c r="M1729" s="521"/>
    </row>
    <row r="1730" spans="1:13" s="17" customFormat="1" ht="16.5" customHeight="1" x14ac:dyDescent="0.25">
      <c r="A1730" s="768"/>
      <c r="B1730" s="768"/>
      <c r="C1730" s="768"/>
      <c r="D1730" s="768"/>
      <c r="E1730" s="768"/>
      <c r="F1730" s="768"/>
      <c r="G1730" s="768"/>
      <c r="H1730" s="768"/>
      <c r="I1730" s="768"/>
      <c r="K1730" s="521"/>
      <c r="L1730" s="521"/>
      <c r="M1730" s="521"/>
    </row>
    <row r="1731" spans="1:13" s="17" customFormat="1" ht="16.5" customHeight="1" x14ac:dyDescent="0.25">
      <c r="A1731" s="524"/>
      <c r="B1731" s="720" t="s">
        <v>329</v>
      </c>
      <c r="C1731" s="720"/>
      <c r="D1731" s="720"/>
      <c r="E1731" s="720"/>
      <c r="F1731" s="720"/>
      <c r="G1731" s="720"/>
      <c r="H1731" s="720"/>
      <c r="I1731" s="720"/>
      <c r="K1731" s="521"/>
      <c r="L1731" s="521"/>
      <c r="M1731" s="521"/>
    </row>
    <row r="1732" spans="1:13" s="17" customFormat="1" ht="16.5" customHeight="1" x14ac:dyDescent="0.25">
      <c r="A1732" s="523"/>
      <c r="B1732" s="523"/>
      <c r="C1732" s="523"/>
      <c r="D1732" s="523"/>
      <c r="E1732" s="701" t="s">
        <v>85</v>
      </c>
      <c r="F1732" s="523"/>
      <c r="G1732" s="523"/>
      <c r="H1732" s="523"/>
      <c r="I1732" s="523"/>
      <c r="K1732" s="521"/>
      <c r="L1732" s="521"/>
      <c r="M1732" s="521"/>
    </row>
    <row r="1733" spans="1:13" s="17" customFormat="1" ht="16.5" customHeight="1" x14ac:dyDescent="0.25">
      <c r="A1733" s="192"/>
      <c r="B1733" s="214"/>
      <c r="C1733" s="15"/>
      <c r="D1733" s="537"/>
      <c r="E1733" s="701"/>
      <c r="F1733" s="537"/>
      <c r="G1733" s="192"/>
      <c r="H1733" s="537"/>
      <c r="I1733" s="537"/>
      <c r="K1733" s="521"/>
      <c r="L1733" s="521"/>
      <c r="M1733" s="521"/>
    </row>
    <row r="1734" spans="1:13" s="17" customFormat="1" ht="16.5" customHeight="1" x14ac:dyDescent="0.25">
      <c r="A1734" s="557" t="s">
        <v>48</v>
      </c>
      <c r="B1734" s="702" t="s">
        <v>49</v>
      </c>
      <c r="C1734" s="703"/>
      <c r="D1734" s="380" t="s">
        <v>86</v>
      </c>
      <c r="E1734" s="530" t="s">
        <v>152</v>
      </c>
      <c r="F1734" s="40" t="s">
        <v>87</v>
      </c>
      <c r="G1734" s="706" t="s">
        <v>52</v>
      </c>
      <c r="H1734" s="707"/>
      <c r="I1734" s="708" t="s">
        <v>53</v>
      </c>
      <c r="K1734" s="521"/>
      <c r="L1734" s="521"/>
      <c r="M1734" s="521"/>
    </row>
    <row r="1735" spans="1:13" s="17" customFormat="1" ht="16.5" customHeight="1" x14ac:dyDescent="0.25">
      <c r="A1735" s="574" t="s">
        <v>88</v>
      </c>
      <c r="B1735" s="704"/>
      <c r="C1735" s="705"/>
      <c r="D1735" s="381" t="s">
        <v>541</v>
      </c>
      <c r="E1735" s="41" t="s">
        <v>573</v>
      </c>
      <c r="F1735" s="41" t="s">
        <v>607</v>
      </c>
      <c r="G1735" s="24" t="s">
        <v>55</v>
      </c>
      <c r="H1735" s="24" t="s">
        <v>56</v>
      </c>
      <c r="I1735" s="769"/>
      <c r="K1735" s="521"/>
      <c r="L1735" s="521"/>
      <c r="M1735" s="521"/>
    </row>
    <row r="1736" spans="1:13" s="17" customFormat="1" ht="16.5" customHeight="1" x14ac:dyDescent="0.25">
      <c r="A1736" s="132">
        <v>1</v>
      </c>
      <c r="B1736" s="710">
        <v>2</v>
      </c>
      <c r="C1736" s="711"/>
      <c r="D1736" s="513">
        <v>3</v>
      </c>
      <c r="E1736" s="129">
        <v>4</v>
      </c>
      <c r="F1736" s="129">
        <v>5</v>
      </c>
      <c r="G1736" s="129">
        <v>6</v>
      </c>
      <c r="H1736" s="129">
        <v>7</v>
      </c>
      <c r="I1736" s="280">
        <v>8</v>
      </c>
      <c r="K1736" s="521"/>
      <c r="L1736" s="521"/>
      <c r="M1736" s="521"/>
    </row>
    <row r="1737" spans="1:13" s="17" customFormat="1" ht="16.5" customHeight="1" x14ac:dyDescent="0.25">
      <c r="A1737" s="81">
        <v>40110</v>
      </c>
      <c r="B1737" s="716" t="s">
        <v>335</v>
      </c>
      <c r="C1737" s="717"/>
      <c r="D1737" s="82">
        <f t="shared" ref="D1737:F1742" si="137">D272</f>
        <v>2227721.9</v>
      </c>
      <c r="E1737" s="472">
        <f t="shared" si="137"/>
        <v>2683681</v>
      </c>
      <c r="F1737" s="82">
        <f t="shared" si="137"/>
        <v>1537402.81</v>
      </c>
      <c r="G1737" s="84">
        <f t="shared" ref="G1737:G1747" si="138">F1737/D1737</f>
        <v>0.69012330937717137</v>
      </c>
      <c r="H1737" s="281">
        <f t="shared" ref="H1737:H1747" si="139">F1737/E1737</f>
        <v>0.57287092243824811</v>
      </c>
      <c r="I1737" s="243">
        <f>F1737/F1743</f>
        <v>0.87642719514525669</v>
      </c>
      <c r="K1737" s="521"/>
      <c r="L1737" s="521"/>
      <c r="M1737" s="521"/>
    </row>
    <row r="1738" spans="1:13" s="17" customFormat="1" ht="17.25" customHeight="1" x14ac:dyDescent="0.25">
      <c r="A1738" s="81"/>
      <c r="B1738" s="716" t="s">
        <v>336</v>
      </c>
      <c r="C1738" s="717"/>
      <c r="D1738" s="82">
        <f t="shared" si="137"/>
        <v>0</v>
      </c>
      <c r="E1738" s="472">
        <f t="shared" si="137"/>
        <v>571877</v>
      </c>
      <c r="F1738" s="82">
        <f t="shared" si="137"/>
        <v>0</v>
      </c>
      <c r="G1738" s="86" t="e">
        <f t="shared" si="138"/>
        <v>#DIV/0!</v>
      </c>
      <c r="H1738" s="281">
        <f t="shared" si="139"/>
        <v>0</v>
      </c>
      <c r="I1738" s="243">
        <f>F1738/F1743</f>
        <v>0</v>
      </c>
      <c r="K1738" s="521"/>
      <c r="L1738" s="521"/>
      <c r="M1738" s="521"/>
    </row>
    <row r="1739" spans="1:13" s="17" customFormat="1" ht="16.5" customHeight="1" x14ac:dyDescent="0.25">
      <c r="A1739" s="79">
        <v>50001</v>
      </c>
      <c r="B1739" s="712" t="s">
        <v>337</v>
      </c>
      <c r="C1739" s="713"/>
      <c r="D1739" s="82">
        <f t="shared" si="137"/>
        <v>193485</v>
      </c>
      <c r="E1739" s="472">
        <f t="shared" si="137"/>
        <v>240000</v>
      </c>
      <c r="F1739" s="82">
        <f t="shared" si="137"/>
        <v>211867</v>
      </c>
      <c r="G1739" s="84">
        <f t="shared" si="138"/>
        <v>1.0950047807323564</v>
      </c>
      <c r="H1739" s="281">
        <f t="shared" si="139"/>
        <v>0.88277916666666667</v>
      </c>
      <c r="I1739" s="243">
        <f>F1739/F1743</f>
        <v>0.12077901727904353</v>
      </c>
      <c r="K1739" s="521"/>
      <c r="L1739" s="521"/>
      <c r="M1739" s="521"/>
    </row>
    <row r="1740" spans="1:13" s="17" customFormat="1" ht="16.5" customHeight="1" x14ac:dyDescent="0.25">
      <c r="A1740" s="79">
        <v>50017</v>
      </c>
      <c r="B1740" s="712" t="s">
        <v>338</v>
      </c>
      <c r="C1740" s="713"/>
      <c r="D1740" s="82">
        <f t="shared" si="137"/>
        <v>0</v>
      </c>
      <c r="E1740" s="472">
        <f t="shared" si="137"/>
        <v>0</v>
      </c>
      <c r="F1740" s="82">
        <f t="shared" si="137"/>
        <v>0</v>
      </c>
      <c r="G1740" s="86" t="e">
        <f t="shared" si="138"/>
        <v>#DIV/0!</v>
      </c>
      <c r="H1740" s="144" t="e">
        <f t="shared" si="139"/>
        <v>#DIV/0!</v>
      </c>
      <c r="I1740" s="243">
        <f>F1740/F1743</f>
        <v>0</v>
      </c>
      <c r="K1740" s="521"/>
      <c r="L1740" s="521"/>
      <c r="M1740" s="521"/>
    </row>
    <row r="1741" spans="1:13" s="17" customFormat="1" ht="16.5" customHeight="1" x14ac:dyDescent="0.25">
      <c r="A1741" s="79">
        <v>50019</v>
      </c>
      <c r="B1741" s="712" t="s">
        <v>478</v>
      </c>
      <c r="C1741" s="713"/>
      <c r="D1741" s="82">
        <f t="shared" si="137"/>
        <v>0</v>
      </c>
      <c r="E1741" s="472">
        <f t="shared" si="137"/>
        <v>0</v>
      </c>
      <c r="F1741" s="82">
        <f t="shared" si="137"/>
        <v>0</v>
      </c>
      <c r="G1741" s="86" t="e">
        <f t="shared" si="138"/>
        <v>#DIV/0!</v>
      </c>
      <c r="H1741" s="144" t="e">
        <f t="shared" si="139"/>
        <v>#DIV/0!</v>
      </c>
      <c r="I1741" s="243">
        <f>F1741/F1744</f>
        <v>0</v>
      </c>
      <c r="K1741" s="521"/>
      <c r="L1741" s="521"/>
      <c r="M1741" s="521"/>
    </row>
    <row r="1742" spans="1:13" s="17" customFormat="1" ht="16.5" customHeight="1" x14ac:dyDescent="0.25">
      <c r="A1742" s="81">
        <v>50290</v>
      </c>
      <c r="B1742" s="712" t="s">
        <v>340</v>
      </c>
      <c r="C1742" s="713"/>
      <c r="D1742" s="82">
        <f t="shared" si="137"/>
        <v>0</v>
      </c>
      <c r="E1742" s="472">
        <f t="shared" si="137"/>
        <v>0</v>
      </c>
      <c r="F1742" s="82">
        <f t="shared" si="137"/>
        <v>4900.78</v>
      </c>
      <c r="G1742" s="86" t="e">
        <f t="shared" si="138"/>
        <v>#DIV/0!</v>
      </c>
      <c r="H1742" s="144" t="e">
        <f t="shared" si="139"/>
        <v>#DIV/0!</v>
      </c>
      <c r="I1742" s="243">
        <f>F1742/F1743</f>
        <v>2.7937875756998067E-3</v>
      </c>
      <c r="K1742" s="521"/>
      <c r="L1742" s="521"/>
      <c r="M1742" s="521"/>
    </row>
    <row r="1743" spans="1:13" s="17" customFormat="1" ht="16.5" customHeight="1" x14ac:dyDescent="0.25">
      <c r="A1743" s="81"/>
      <c r="B1743" s="736" t="s">
        <v>109</v>
      </c>
      <c r="C1743" s="737"/>
      <c r="D1743" s="88">
        <f>D1737+D1738+D1739+D1740+D1741+D1742</f>
        <v>2421206.9</v>
      </c>
      <c r="E1743" s="88">
        <f t="shared" ref="E1743" si="140">E1737+E1738+E1739+E1740+E1742</f>
        <v>3495558</v>
      </c>
      <c r="F1743" s="88">
        <f>F1737+F1738+F1739+F1740+F1741+F1742</f>
        <v>1754170.59</v>
      </c>
      <c r="G1743" s="27">
        <f t="shared" si="138"/>
        <v>0.72450255696859289</v>
      </c>
      <c r="H1743" s="28">
        <f t="shared" si="139"/>
        <v>0.50182848918541767</v>
      </c>
      <c r="I1743" s="340">
        <f>F1743/F1747</f>
        <v>0.51095215707434816</v>
      </c>
      <c r="K1743" s="521"/>
      <c r="L1743" s="521"/>
      <c r="M1743" s="521"/>
    </row>
    <row r="1744" spans="1:13" s="17" customFormat="1" ht="16.5" customHeight="1" x14ac:dyDescent="0.25">
      <c r="A1744" s="331">
        <v>50101</v>
      </c>
      <c r="B1744" s="736" t="s">
        <v>339</v>
      </c>
      <c r="C1744" s="737"/>
      <c r="D1744" s="88">
        <f>D279</f>
        <v>662931</v>
      </c>
      <c r="E1744" s="332">
        <v>0</v>
      </c>
      <c r="F1744" s="88">
        <f>F279</f>
        <v>768881.5</v>
      </c>
      <c r="G1744" s="116">
        <f t="shared" si="138"/>
        <v>1.1598213087033191</v>
      </c>
      <c r="H1744" s="28" t="e">
        <f t="shared" si="139"/>
        <v>#DIV/0!</v>
      </c>
      <c r="I1744" s="339">
        <f>F1744/F1747</f>
        <v>0.22395864073833341</v>
      </c>
      <c r="K1744" s="521"/>
      <c r="L1744" s="521"/>
      <c r="M1744" s="521"/>
    </row>
    <row r="1745" spans="1:13" s="17" customFormat="1" ht="16.5" customHeight="1" x14ac:dyDescent="0.25">
      <c r="A1745" s="81"/>
      <c r="B1745" s="736" t="s">
        <v>140</v>
      </c>
      <c r="C1745" s="737"/>
      <c r="D1745" s="88">
        <f>D280</f>
        <v>0</v>
      </c>
      <c r="E1745" s="88">
        <f>E1746</f>
        <v>0</v>
      </c>
      <c r="F1745" s="88">
        <f>F280</f>
        <v>910088.5</v>
      </c>
      <c r="G1745" s="27" t="e">
        <f t="shared" si="138"/>
        <v>#DIV/0!</v>
      </c>
      <c r="H1745" s="28" t="e">
        <f t="shared" si="139"/>
        <v>#DIV/0!</v>
      </c>
      <c r="I1745" s="28">
        <f>F1745/F1747</f>
        <v>0.26508920218731852</v>
      </c>
      <c r="K1745" s="521"/>
      <c r="L1745" s="521"/>
      <c r="M1745" s="521"/>
    </row>
    <row r="1746" spans="1:13" s="17" customFormat="1" ht="16.5" customHeight="1" x14ac:dyDescent="0.25">
      <c r="A1746" s="81"/>
      <c r="B1746" s="712" t="s">
        <v>479</v>
      </c>
      <c r="C1746" s="713"/>
      <c r="D1746" s="82">
        <v>0</v>
      </c>
      <c r="E1746" s="282"/>
      <c r="F1746" s="82">
        <v>0</v>
      </c>
      <c r="G1746" s="143" t="e">
        <f t="shared" si="138"/>
        <v>#DIV/0!</v>
      </c>
      <c r="H1746" s="144" t="e">
        <f t="shared" si="139"/>
        <v>#DIV/0!</v>
      </c>
      <c r="I1746" s="144">
        <f>F1746/F1745</f>
        <v>0</v>
      </c>
      <c r="K1746" s="521"/>
      <c r="L1746" s="521"/>
      <c r="M1746" s="521"/>
    </row>
    <row r="1747" spans="1:13" s="17" customFormat="1" ht="16.5" customHeight="1" x14ac:dyDescent="0.25">
      <c r="A1747" s="146"/>
      <c r="B1747" s="718" t="s">
        <v>333</v>
      </c>
      <c r="C1747" s="719"/>
      <c r="D1747" s="466">
        <f>D1743+D1744+D1745</f>
        <v>3084137.9</v>
      </c>
      <c r="E1747" s="466">
        <f t="shared" ref="E1747:F1747" si="141">E1743+E1744+E1745</f>
        <v>3495558</v>
      </c>
      <c r="F1747" s="466">
        <f t="shared" si="141"/>
        <v>3433140.59</v>
      </c>
      <c r="G1747" s="148">
        <f t="shared" si="138"/>
        <v>1.1131605334508552</v>
      </c>
      <c r="H1747" s="137">
        <f t="shared" si="139"/>
        <v>0.98214379220713832</v>
      </c>
      <c r="I1747" s="137">
        <f>I1743+I1744+I1745</f>
        <v>1</v>
      </c>
      <c r="K1747" s="521"/>
      <c r="L1747" s="521"/>
      <c r="M1747" s="521"/>
    </row>
    <row r="1748" spans="1:13" s="17" customFormat="1" ht="16.5" customHeight="1" x14ac:dyDescent="0.25">
      <c r="A1748" s="170"/>
      <c r="B1748" s="542"/>
      <c r="C1748" s="542"/>
      <c r="D1748" s="283"/>
      <c r="E1748" s="283"/>
      <c r="F1748" s="283"/>
      <c r="G1748" s="190"/>
      <c r="H1748" s="191"/>
      <c r="I1748" s="284"/>
      <c r="K1748" s="521"/>
      <c r="L1748" s="521"/>
      <c r="M1748" s="521"/>
    </row>
    <row r="1749" spans="1:13" s="17" customFormat="1" ht="16.5" customHeight="1" x14ac:dyDescent="0.25">
      <c r="A1749" s="742" t="s">
        <v>798</v>
      </c>
      <c r="B1749" s="742"/>
      <c r="C1749" s="742"/>
      <c r="D1749" s="742"/>
      <c r="E1749" s="742"/>
      <c r="F1749" s="742"/>
      <c r="G1749" s="742"/>
      <c r="H1749" s="742"/>
      <c r="I1749" s="742"/>
      <c r="K1749" s="521"/>
      <c r="L1749" s="521"/>
      <c r="M1749" s="521"/>
    </row>
    <row r="1750" spans="1:13" s="17" customFormat="1" ht="16.5" customHeight="1" x14ac:dyDescent="0.25">
      <c r="A1750" s="742" t="s">
        <v>799</v>
      </c>
      <c r="B1750" s="742"/>
      <c r="C1750" s="742"/>
      <c r="D1750" s="742"/>
      <c r="E1750" s="742"/>
      <c r="F1750" s="742"/>
      <c r="G1750" s="742"/>
      <c r="H1750" s="742"/>
      <c r="I1750" s="742"/>
      <c r="K1750" s="521"/>
      <c r="L1750" s="521"/>
      <c r="M1750" s="521"/>
    </row>
    <row r="1751" spans="1:13" s="17" customFormat="1" ht="16.5" customHeight="1" x14ac:dyDescent="0.25">
      <c r="A1751" s="490" t="s">
        <v>800</v>
      </c>
      <c r="B1751" s="550"/>
      <c r="C1751" s="550"/>
      <c r="D1751" s="550"/>
      <c r="E1751" s="550"/>
      <c r="F1751" s="550"/>
      <c r="G1751" s="550"/>
      <c r="H1751" s="550"/>
      <c r="I1751" s="550"/>
      <c r="K1751" s="521"/>
      <c r="L1751" s="521"/>
      <c r="M1751" s="521"/>
    </row>
    <row r="1752" spans="1:13" s="17" customFormat="1" ht="16.5" customHeight="1" x14ac:dyDescent="0.25">
      <c r="A1752" s="742" t="s">
        <v>1047</v>
      </c>
      <c r="B1752" s="742"/>
      <c r="C1752" s="742"/>
      <c r="D1752" s="742"/>
      <c r="E1752" s="742"/>
      <c r="F1752" s="742"/>
      <c r="G1752" s="742"/>
      <c r="H1752" s="742"/>
      <c r="I1752" s="742"/>
      <c r="K1752" s="521"/>
      <c r="L1752" s="521"/>
      <c r="M1752" s="521"/>
    </row>
    <row r="1753" spans="1:13" s="17" customFormat="1" ht="16.5" customHeight="1" x14ac:dyDescent="0.25">
      <c r="A1753" s="216"/>
      <c r="B1753" s="216" t="s">
        <v>1060</v>
      </c>
      <c r="C1753" s="216"/>
      <c r="D1753" s="216"/>
      <c r="E1753" s="216"/>
      <c r="F1753" s="216"/>
      <c r="G1753" s="216"/>
      <c r="H1753" s="216"/>
      <c r="I1753" s="216"/>
      <c r="K1753" s="521"/>
      <c r="L1753" s="521"/>
      <c r="M1753" s="521"/>
    </row>
    <row r="1754" spans="1:13" s="17" customFormat="1" ht="16.5" customHeight="1" x14ac:dyDescent="0.25">
      <c r="A1754" s="216" t="s">
        <v>1061</v>
      </c>
      <c r="B1754" s="216"/>
      <c r="C1754" s="216"/>
      <c r="D1754" s="216"/>
      <c r="E1754" s="216"/>
      <c r="F1754" s="216"/>
      <c r="G1754" s="216"/>
      <c r="H1754" s="216"/>
      <c r="I1754" s="216"/>
      <c r="K1754" s="521"/>
      <c r="L1754" s="521"/>
      <c r="M1754" s="521"/>
    </row>
    <row r="1755" spans="1:13" s="17" customFormat="1" ht="16.5" customHeight="1" x14ac:dyDescent="0.25">
      <c r="A1755" s="527"/>
      <c r="B1755" s="742"/>
      <c r="C1755" s="742"/>
      <c r="D1755" s="742"/>
      <c r="E1755" s="742"/>
      <c r="F1755" s="742"/>
      <c r="G1755" s="742"/>
      <c r="H1755" s="742"/>
      <c r="I1755" s="742"/>
      <c r="K1755" s="521"/>
      <c r="L1755" s="521"/>
      <c r="M1755" s="521"/>
    </row>
    <row r="1756" spans="1:13" s="17" customFormat="1" ht="16.5" customHeight="1" x14ac:dyDescent="0.25">
      <c r="A1756" s="725" t="s">
        <v>503</v>
      </c>
      <c r="B1756" s="725"/>
      <c r="C1756" s="725"/>
      <c r="D1756" s="725"/>
      <c r="E1756" s="725"/>
      <c r="F1756" s="725"/>
      <c r="G1756" s="725"/>
      <c r="H1756" s="725"/>
      <c r="I1756" s="725"/>
      <c r="K1756" s="521"/>
      <c r="L1756" s="521"/>
      <c r="M1756" s="521"/>
    </row>
    <row r="1757" spans="1:13" s="17" customFormat="1" ht="16.5" customHeight="1" x14ac:dyDescent="0.25">
      <c r="A1757" s="583"/>
      <c r="B1757" s="583"/>
      <c r="C1757" s="583"/>
      <c r="D1757" s="583"/>
      <c r="E1757" s="583"/>
      <c r="F1757" s="583"/>
      <c r="G1757" s="583"/>
      <c r="H1757" s="583"/>
      <c r="I1757" s="583"/>
      <c r="K1757" s="521"/>
      <c r="L1757" s="521"/>
      <c r="M1757" s="521"/>
    </row>
    <row r="1758" spans="1:13" s="17" customFormat="1" ht="16.5" customHeight="1" x14ac:dyDescent="0.25">
      <c r="A1758" s="583"/>
      <c r="B1758" s="742" t="s">
        <v>801</v>
      </c>
      <c r="C1758" s="742"/>
      <c r="D1758" s="742"/>
      <c r="E1758" s="742"/>
      <c r="F1758" s="742"/>
      <c r="G1758" s="742"/>
      <c r="H1758" s="742"/>
      <c r="I1758" s="742"/>
      <c r="K1758" s="521"/>
      <c r="L1758" s="521"/>
      <c r="M1758" s="521"/>
    </row>
    <row r="1759" spans="1:13" s="17" customFormat="1" ht="16.5" customHeight="1" x14ac:dyDescent="0.25">
      <c r="A1759" s="523"/>
      <c r="B1759" s="523"/>
      <c r="C1759" s="523"/>
      <c r="D1759" s="523"/>
      <c r="E1759" s="701" t="s">
        <v>85</v>
      </c>
      <c r="F1759" s="523"/>
      <c r="G1759" s="523"/>
      <c r="H1759" s="523"/>
      <c r="I1759" s="523"/>
      <c r="K1759" s="521"/>
      <c r="L1759" s="521"/>
      <c r="M1759" s="521"/>
    </row>
    <row r="1760" spans="1:13" s="17" customFormat="1" ht="16.5" customHeight="1" x14ac:dyDescent="0.25">
      <c r="A1760" s="192"/>
      <c r="B1760" s="214"/>
      <c r="C1760" s="15"/>
      <c r="D1760" s="537"/>
      <c r="E1760" s="701"/>
      <c r="F1760" s="537"/>
      <c r="G1760" s="192"/>
      <c r="H1760" s="537"/>
      <c r="I1760" s="537"/>
      <c r="K1760" s="521"/>
      <c r="L1760" s="521"/>
      <c r="M1760" s="521"/>
    </row>
    <row r="1761" spans="1:13" s="17" customFormat="1" ht="16.5" customHeight="1" x14ac:dyDescent="0.25">
      <c r="A1761" s="557" t="s">
        <v>48</v>
      </c>
      <c r="B1761" s="702" t="s">
        <v>49</v>
      </c>
      <c r="C1761" s="703"/>
      <c r="D1761" s="380" t="s">
        <v>86</v>
      </c>
      <c r="E1761" s="530" t="s">
        <v>152</v>
      </c>
      <c r="F1761" s="40" t="s">
        <v>87</v>
      </c>
      <c r="G1761" s="706" t="s">
        <v>52</v>
      </c>
      <c r="H1761" s="707"/>
      <c r="I1761" s="708" t="s">
        <v>53</v>
      </c>
      <c r="K1761" s="521"/>
      <c r="L1761" s="521"/>
      <c r="M1761" s="521"/>
    </row>
    <row r="1762" spans="1:13" s="17" customFormat="1" ht="16.5" customHeight="1" x14ac:dyDescent="0.25">
      <c r="A1762" s="574" t="s">
        <v>88</v>
      </c>
      <c r="B1762" s="704"/>
      <c r="C1762" s="705"/>
      <c r="D1762" s="381" t="s">
        <v>541</v>
      </c>
      <c r="E1762" s="41" t="s">
        <v>573</v>
      </c>
      <c r="F1762" s="41" t="s">
        <v>607</v>
      </c>
      <c r="G1762" s="24" t="s">
        <v>55</v>
      </c>
      <c r="H1762" s="24" t="s">
        <v>56</v>
      </c>
      <c r="I1762" s="709"/>
      <c r="K1762" s="521"/>
      <c r="L1762" s="521"/>
      <c r="M1762" s="521"/>
    </row>
    <row r="1763" spans="1:13" s="17" customFormat="1" ht="16.5" customHeight="1" x14ac:dyDescent="0.25">
      <c r="A1763" s="142">
        <v>1</v>
      </c>
      <c r="B1763" s="710">
        <v>2</v>
      </c>
      <c r="C1763" s="711"/>
      <c r="D1763" s="513">
        <v>3</v>
      </c>
      <c r="E1763" s="129">
        <v>4</v>
      </c>
      <c r="F1763" s="129">
        <v>5</v>
      </c>
      <c r="G1763" s="129">
        <v>6</v>
      </c>
      <c r="H1763" s="129">
        <v>7</v>
      </c>
      <c r="I1763" s="142">
        <v>8</v>
      </c>
      <c r="K1763" s="521"/>
      <c r="L1763" s="521"/>
      <c r="M1763" s="521"/>
    </row>
    <row r="1764" spans="1:13" s="17" customFormat="1" ht="16.5" customHeight="1" x14ac:dyDescent="0.25">
      <c r="A1764" s="81">
        <v>111</v>
      </c>
      <c r="B1764" s="716" t="s">
        <v>184</v>
      </c>
      <c r="C1764" s="717"/>
      <c r="D1764" s="5">
        <f>D666</f>
        <v>182660.61</v>
      </c>
      <c r="E1764" s="452">
        <f>E666</f>
        <v>253393.82</v>
      </c>
      <c r="F1764" s="5">
        <f>F666</f>
        <v>176135.36</v>
      </c>
      <c r="G1764" s="86">
        <f t="shared" ref="G1764:G1769" si="142">F1764/D1764</f>
        <v>0.96427664399018487</v>
      </c>
      <c r="H1764" s="87">
        <f t="shared" ref="H1764:H1769" si="143">F1764/E1764</f>
        <v>0.6951051923839342</v>
      </c>
      <c r="I1764" s="87">
        <f>F1764/F1769</f>
        <v>0.30149494869683702</v>
      </c>
      <c r="K1764" s="521"/>
      <c r="L1764" s="521"/>
      <c r="M1764" s="521"/>
    </row>
    <row r="1765" spans="1:13" s="17" customFormat="1" ht="16.5" customHeight="1" x14ac:dyDescent="0.25">
      <c r="A1765" s="81">
        <v>130</v>
      </c>
      <c r="B1765" s="716" t="s">
        <v>185</v>
      </c>
      <c r="C1765" s="717"/>
      <c r="D1765" s="433">
        <f>D876</f>
        <v>48671.46</v>
      </c>
      <c r="E1765" s="470">
        <f>E876</f>
        <v>51899.65</v>
      </c>
      <c r="F1765" s="435">
        <f>F876</f>
        <v>48071.31</v>
      </c>
      <c r="G1765" s="249">
        <f t="shared" si="142"/>
        <v>0.98766936516800607</v>
      </c>
      <c r="H1765" s="210">
        <f t="shared" si="143"/>
        <v>0.92623572605980953</v>
      </c>
      <c r="I1765" s="250">
        <f>F1765/F1769</f>
        <v>8.2284767477920101E-2</v>
      </c>
      <c r="K1765" s="521"/>
      <c r="L1765" s="521"/>
      <c r="M1765" s="521"/>
    </row>
    <row r="1766" spans="1:13" s="17" customFormat="1" ht="16.5" customHeight="1" x14ac:dyDescent="0.25">
      <c r="A1766" s="81">
        <v>132</v>
      </c>
      <c r="B1766" s="716" t="s">
        <v>186</v>
      </c>
      <c r="C1766" s="717"/>
      <c r="D1766" s="5">
        <v>0</v>
      </c>
      <c r="E1766" s="452">
        <v>0</v>
      </c>
      <c r="F1766" s="285">
        <v>0</v>
      </c>
      <c r="G1766" s="286" t="e">
        <f t="shared" si="142"/>
        <v>#DIV/0!</v>
      </c>
      <c r="H1766" s="87" t="e">
        <f t="shared" si="143"/>
        <v>#DIV/0!</v>
      </c>
      <c r="I1766" s="243">
        <f>F1766/F1769</f>
        <v>0</v>
      </c>
      <c r="K1766" s="521"/>
      <c r="L1766" s="521"/>
      <c r="M1766" s="521"/>
    </row>
    <row r="1767" spans="1:13" s="17" customFormat="1" ht="16.5" customHeight="1" x14ac:dyDescent="0.25">
      <c r="A1767" s="81">
        <v>200</v>
      </c>
      <c r="B1767" s="716" t="s">
        <v>187</v>
      </c>
      <c r="C1767" s="717"/>
      <c r="D1767" s="5">
        <v>0</v>
      </c>
      <c r="E1767" s="464">
        <v>0</v>
      </c>
      <c r="F1767" s="5">
        <v>0</v>
      </c>
      <c r="G1767" s="286" t="e">
        <f t="shared" si="142"/>
        <v>#DIV/0!</v>
      </c>
      <c r="H1767" s="87" t="e">
        <f t="shared" si="143"/>
        <v>#DIV/0!</v>
      </c>
      <c r="I1767" s="243">
        <f>F1767/F1769</f>
        <v>0</v>
      </c>
      <c r="K1767" s="521"/>
      <c r="L1767" s="521"/>
      <c r="M1767" s="521"/>
    </row>
    <row r="1768" spans="1:13" s="17" customFormat="1" ht="16.5" customHeight="1" x14ac:dyDescent="0.25">
      <c r="A1768" s="81">
        <v>300</v>
      </c>
      <c r="B1768" s="716" t="s">
        <v>188</v>
      </c>
      <c r="C1768" s="717"/>
      <c r="D1768" s="287">
        <f>D1257</f>
        <v>334968.65999999997</v>
      </c>
      <c r="E1768" s="452">
        <f>E1257</f>
        <v>1161193.29</v>
      </c>
      <c r="F1768" s="287">
        <f>F1257</f>
        <v>360000</v>
      </c>
      <c r="G1768" s="209">
        <f t="shared" si="142"/>
        <v>1.0747274088268437</v>
      </c>
      <c r="H1768" s="233">
        <f t="shared" si="143"/>
        <v>0.31002590447280315</v>
      </c>
      <c r="I1768" s="210">
        <f>F1768/F1769</f>
        <v>0.61622028382524296</v>
      </c>
      <c r="K1768" s="521"/>
      <c r="L1768" s="521"/>
      <c r="M1768" s="521"/>
    </row>
    <row r="1769" spans="1:13" s="17" customFormat="1" ht="16.5" customHeight="1" x14ac:dyDescent="0.25">
      <c r="A1769" s="146"/>
      <c r="B1769" s="718" t="s">
        <v>84</v>
      </c>
      <c r="C1769" s="719"/>
      <c r="D1769" s="465">
        <f>D1764+D1765+D1766+D1767+D1768</f>
        <v>566300.73</v>
      </c>
      <c r="E1769" s="465">
        <f>E1764+E1765+E1766+E1767+E1768</f>
        <v>1466486.76</v>
      </c>
      <c r="F1769" s="383">
        <f>F1764+F1765+F1766+F1767+F1768</f>
        <v>584206.66999999993</v>
      </c>
      <c r="G1769" s="169">
        <f t="shared" si="142"/>
        <v>1.0316191363553424</v>
      </c>
      <c r="H1769" s="137">
        <f t="shared" si="143"/>
        <v>0.39837159525395233</v>
      </c>
      <c r="I1769" s="137">
        <f>I1764+I1765+I1766+I1767+I1768</f>
        <v>1</v>
      </c>
      <c r="K1769" s="521"/>
      <c r="L1769" s="521"/>
      <c r="M1769" s="521"/>
    </row>
    <row r="1770" spans="1:13" s="17" customFormat="1" ht="16.5" customHeight="1" x14ac:dyDescent="0.25">
      <c r="A1770" s="538"/>
      <c r="B1770" s="538"/>
      <c r="C1770" s="538"/>
      <c r="D1770" s="538"/>
      <c r="E1770" s="538"/>
      <c r="F1770" s="538"/>
      <c r="G1770" s="537"/>
      <c r="H1770" s="288"/>
      <c r="I1770" s="273"/>
      <c r="K1770" s="521"/>
      <c r="L1770" s="521"/>
      <c r="M1770" s="521"/>
    </row>
    <row r="1771" spans="1:13" s="17" customFormat="1" ht="16.5" customHeight="1" x14ac:dyDescent="0.25">
      <c r="A1771" s="525"/>
      <c r="B1771" s="715" t="s">
        <v>802</v>
      </c>
      <c r="C1771" s="715"/>
      <c r="D1771" s="715"/>
      <c r="E1771" s="715"/>
      <c r="F1771" s="715"/>
      <c r="G1771" s="715"/>
      <c r="H1771" s="715"/>
      <c r="I1771" s="715"/>
      <c r="K1771" s="521"/>
      <c r="L1771" s="521"/>
      <c r="M1771" s="521"/>
    </row>
    <row r="1772" spans="1:13" s="17" customFormat="1" ht="16.5" customHeight="1" x14ac:dyDescent="0.25">
      <c r="A1772" s="715" t="s">
        <v>803</v>
      </c>
      <c r="B1772" s="715"/>
      <c r="C1772" s="715"/>
      <c r="D1772" s="715"/>
      <c r="E1772" s="715"/>
      <c r="F1772" s="715"/>
      <c r="G1772" s="715"/>
      <c r="H1772" s="715"/>
      <c r="I1772" s="715"/>
      <c r="K1772" s="521"/>
      <c r="L1772" s="521"/>
      <c r="M1772" s="521"/>
    </row>
    <row r="1773" spans="1:13" s="17" customFormat="1" ht="16.5" customHeight="1" x14ac:dyDescent="0.25">
      <c r="A1773" s="724" t="s">
        <v>804</v>
      </c>
      <c r="B1773" s="724"/>
      <c r="C1773" s="724"/>
      <c r="D1773" s="724"/>
      <c r="E1773" s="724"/>
      <c r="F1773" s="724"/>
      <c r="G1773" s="724"/>
      <c r="H1773" s="724"/>
      <c r="I1773" s="724"/>
      <c r="K1773" s="521"/>
      <c r="L1773" s="521"/>
      <c r="M1773" s="521"/>
    </row>
    <row r="1774" spans="1:13" s="17" customFormat="1" ht="16.5" customHeight="1" x14ac:dyDescent="0.25">
      <c r="A1774" s="714" t="s">
        <v>805</v>
      </c>
      <c r="B1774" s="714"/>
      <c r="C1774" s="714"/>
      <c r="D1774" s="714"/>
      <c r="E1774" s="714"/>
      <c r="F1774" s="714"/>
      <c r="G1774" s="714"/>
      <c r="H1774" s="714"/>
      <c r="I1774" s="714"/>
      <c r="K1774" s="521"/>
      <c r="L1774" s="521"/>
      <c r="M1774" s="521"/>
    </row>
    <row r="1775" spans="1:13" s="17" customFormat="1" ht="16.5" customHeight="1" x14ac:dyDescent="0.25">
      <c r="A1775" s="714" t="s">
        <v>806</v>
      </c>
      <c r="B1775" s="714"/>
      <c r="C1775" s="714"/>
      <c r="D1775" s="714"/>
      <c r="E1775" s="714"/>
      <c r="F1775" s="714"/>
      <c r="G1775" s="714"/>
      <c r="H1775" s="714"/>
      <c r="I1775" s="714"/>
      <c r="K1775" s="521"/>
      <c r="L1775" s="521"/>
      <c r="M1775" s="521"/>
    </row>
    <row r="1776" spans="1:13" s="17" customFormat="1" ht="16.5" customHeight="1" x14ac:dyDescent="0.25">
      <c r="A1776" s="714" t="s">
        <v>807</v>
      </c>
      <c r="B1776" s="714"/>
      <c r="C1776" s="714"/>
      <c r="D1776" s="714"/>
      <c r="E1776" s="714"/>
      <c r="F1776" s="714"/>
      <c r="G1776" s="714"/>
      <c r="H1776" s="714"/>
      <c r="I1776" s="714"/>
      <c r="K1776" s="521"/>
      <c r="L1776" s="521"/>
      <c r="M1776" s="521"/>
    </row>
    <row r="1777" spans="1:13" s="17" customFormat="1" ht="16.5" customHeight="1" x14ac:dyDescent="0.25">
      <c r="A1777" s="714" t="s">
        <v>808</v>
      </c>
      <c r="B1777" s="714"/>
      <c r="C1777" s="714"/>
      <c r="D1777" s="714"/>
      <c r="E1777" s="714"/>
      <c r="F1777" s="714"/>
      <c r="G1777" s="714"/>
      <c r="H1777" s="714"/>
      <c r="I1777" s="714"/>
      <c r="K1777" s="521"/>
      <c r="L1777" s="521"/>
      <c r="M1777" s="521"/>
    </row>
    <row r="1778" spans="1:13" s="17" customFormat="1" ht="12" customHeight="1" x14ac:dyDescent="0.25">
      <c r="A1778" s="714" t="s">
        <v>809</v>
      </c>
      <c r="B1778" s="714"/>
      <c r="C1778" s="714"/>
      <c r="D1778" s="714"/>
      <c r="E1778" s="714"/>
      <c r="F1778" s="714"/>
      <c r="G1778" s="714"/>
      <c r="H1778" s="714"/>
      <c r="I1778" s="714"/>
      <c r="K1778" s="521"/>
      <c r="L1778" s="521"/>
      <c r="M1778" s="521"/>
    </row>
    <row r="1779" spans="1:13" s="17" customFormat="1" ht="12" customHeight="1" x14ac:dyDescent="0.25">
      <c r="A1779" s="523"/>
      <c r="B1779" s="714" t="s">
        <v>810</v>
      </c>
      <c r="C1779" s="714"/>
      <c r="D1779" s="714"/>
      <c r="E1779" s="714"/>
      <c r="F1779" s="714"/>
      <c r="G1779" s="714"/>
      <c r="H1779" s="714"/>
      <c r="I1779" s="714"/>
      <c r="K1779" s="521"/>
      <c r="L1779" s="521"/>
      <c r="M1779" s="521"/>
    </row>
    <row r="1780" spans="1:13" s="17" customFormat="1" ht="16.5" customHeight="1" x14ac:dyDescent="0.25">
      <c r="A1780" s="714" t="s">
        <v>811</v>
      </c>
      <c r="B1780" s="714"/>
      <c r="C1780" s="714"/>
      <c r="D1780" s="714"/>
      <c r="E1780" s="714"/>
      <c r="F1780" s="714"/>
      <c r="G1780" s="714"/>
      <c r="H1780" s="714"/>
      <c r="I1780" s="714"/>
      <c r="K1780" s="521"/>
      <c r="L1780" s="521"/>
      <c r="M1780" s="521"/>
    </row>
    <row r="1781" spans="1:13" s="17" customFormat="1" ht="16.5" customHeight="1" x14ac:dyDescent="0.25">
      <c r="A1781" s="524"/>
      <c r="B1781" s="524"/>
      <c r="C1781" s="524"/>
      <c r="D1781" s="524"/>
      <c r="E1781" s="524"/>
      <c r="F1781" s="524"/>
      <c r="G1781" s="524"/>
      <c r="H1781" s="524"/>
      <c r="I1781" s="524"/>
      <c r="K1781" s="521"/>
      <c r="L1781" s="521"/>
      <c r="M1781" s="521"/>
    </row>
    <row r="1782" spans="1:13" s="17" customFormat="1" ht="16.5" customHeight="1" x14ac:dyDescent="0.25">
      <c r="A1782" s="670"/>
      <c r="B1782" s="670"/>
      <c r="C1782" s="670"/>
      <c r="D1782" s="670"/>
      <c r="E1782" s="670"/>
      <c r="F1782" s="670"/>
      <c r="G1782" s="670"/>
      <c r="H1782" s="670"/>
      <c r="I1782" s="408">
        <v>29</v>
      </c>
      <c r="K1782" s="675"/>
      <c r="L1782" s="675"/>
      <c r="M1782" s="675"/>
    </row>
    <row r="1783" spans="1:13" s="17" customFormat="1" ht="16.5" customHeight="1" x14ac:dyDescent="0.25">
      <c r="A1783" s="670"/>
      <c r="B1783" s="670"/>
      <c r="C1783" s="670"/>
      <c r="D1783" s="670"/>
      <c r="E1783" s="670"/>
      <c r="F1783" s="670"/>
      <c r="G1783" s="670"/>
      <c r="H1783" s="670"/>
      <c r="I1783" s="670"/>
      <c r="K1783" s="675"/>
      <c r="L1783" s="675"/>
      <c r="M1783" s="675"/>
    </row>
    <row r="1784" spans="1:13" s="17" customFormat="1" ht="16.5" customHeight="1" x14ac:dyDescent="0.25">
      <c r="A1784" s="670"/>
      <c r="B1784" s="670"/>
      <c r="C1784" s="670"/>
      <c r="D1784" s="670"/>
      <c r="E1784" s="670"/>
      <c r="F1784" s="670"/>
      <c r="G1784" s="670"/>
      <c r="H1784" s="670"/>
      <c r="I1784" s="670"/>
      <c r="K1784" s="675"/>
      <c r="L1784" s="675"/>
      <c r="M1784" s="675"/>
    </row>
    <row r="1785" spans="1:13" s="17" customFormat="1" ht="16.5" customHeight="1" x14ac:dyDescent="0.25">
      <c r="A1785" s="540"/>
      <c r="B1785" s="722" t="s">
        <v>341</v>
      </c>
      <c r="C1785" s="722"/>
      <c r="D1785" s="722"/>
      <c r="E1785" s="722"/>
      <c r="F1785" s="540"/>
      <c r="G1785" s="541"/>
      <c r="H1785" s="260"/>
      <c r="I1785" s="245"/>
      <c r="K1785" s="521"/>
      <c r="L1785" s="521"/>
      <c r="M1785" s="521"/>
    </row>
    <row r="1786" spans="1:13" s="17" customFormat="1" ht="16.5" customHeight="1" x14ac:dyDescent="0.25">
      <c r="A1786" s="540"/>
      <c r="B1786" s="529"/>
      <c r="C1786" s="529"/>
      <c r="D1786" s="529"/>
      <c r="E1786" s="529"/>
      <c r="F1786" s="540"/>
      <c r="G1786" s="541"/>
      <c r="H1786" s="260"/>
      <c r="I1786" s="245"/>
      <c r="K1786" s="521"/>
      <c r="L1786" s="521"/>
      <c r="M1786" s="521"/>
    </row>
    <row r="1787" spans="1:13" s="17" customFormat="1" ht="16.5" customHeight="1" x14ac:dyDescent="0.25">
      <c r="A1787" s="524"/>
      <c r="B1787" s="720" t="s">
        <v>812</v>
      </c>
      <c r="C1787" s="720"/>
      <c r="D1787" s="720"/>
      <c r="E1787" s="720"/>
      <c r="F1787" s="720"/>
      <c r="G1787" s="720"/>
      <c r="H1787" s="720"/>
      <c r="I1787" s="720"/>
      <c r="K1787" s="521"/>
      <c r="L1787" s="521"/>
      <c r="M1787" s="521"/>
    </row>
    <row r="1788" spans="1:13" s="17" customFormat="1" ht="16.5" customHeight="1" x14ac:dyDescent="0.25">
      <c r="A1788" s="720" t="s">
        <v>813</v>
      </c>
      <c r="B1788" s="720"/>
      <c r="C1788" s="720"/>
      <c r="D1788" s="720"/>
      <c r="E1788" s="720"/>
      <c r="F1788" s="720"/>
      <c r="G1788" s="720"/>
      <c r="H1788" s="720"/>
      <c r="I1788" s="720"/>
      <c r="K1788" s="521"/>
      <c r="L1788" s="521"/>
      <c r="M1788" s="521"/>
    </row>
    <row r="1789" spans="1:13" s="17" customFormat="1" ht="16.5" customHeight="1" x14ac:dyDescent="0.25">
      <c r="A1789" s="524"/>
      <c r="B1789" s="720" t="s">
        <v>329</v>
      </c>
      <c r="C1789" s="720"/>
      <c r="D1789" s="720"/>
      <c r="E1789" s="720"/>
      <c r="F1789" s="720"/>
      <c r="G1789" s="720"/>
      <c r="H1789" s="720"/>
      <c r="I1789" s="720"/>
      <c r="K1789" s="521"/>
      <c r="L1789" s="521"/>
      <c r="M1789" s="521"/>
    </row>
    <row r="1790" spans="1:13" s="17" customFormat="1" ht="12" customHeight="1" x14ac:dyDescent="0.25">
      <c r="A1790" s="523"/>
      <c r="B1790" s="523"/>
      <c r="C1790" s="523"/>
      <c r="D1790" s="523"/>
      <c r="E1790" s="701" t="s">
        <v>85</v>
      </c>
      <c r="F1790" s="523"/>
      <c r="G1790" s="523"/>
      <c r="H1790" s="523"/>
      <c r="I1790" s="523"/>
      <c r="K1790" s="521"/>
      <c r="L1790" s="521"/>
      <c r="M1790" s="521"/>
    </row>
    <row r="1791" spans="1:13" s="17" customFormat="1" ht="16.5" customHeight="1" x14ac:dyDescent="0.25">
      <c r="A1791" s="192"/>
      <c r="B1791" s="214"/>
      <c r="C1791" s="15"/>
      <c r="D1791" s="537"/>
      <c r="E1791" s="701"/>
      <c r="F1791" s="537"/>
      <c r="G1791" s="192"/>
      <c r="H1791" s="537"/>
      <c r="I1791" s="537"/>
      <c r="K1791" s="521"/>
      <c r="L1791" s="521"/>
      <c r="M1791" s="521"/>
    </row>
    <row r="1792" spans="1:13" s="17" customFormat="1" ht="16.5" customHeight="1" x14ac:dyDescent="0.25">
      <c r="A1792" s="557" t="s">
        <v>48</v>
      </c>
      <c r="B1792" s="702" t="s">
        <v>49</v>
      </c>
      <c r="C1792" s="703"/>
      <c r="D1792" s="380" t="s">
        <v>86</v>
      </c>
      <c r="E1792" s="530" t="s">
        <v>321</v>
      </c>
      <c r="F1792" s="40" t="s">
        <v>87</v>
      </c>
      <c r="G1792" s="706" t="s">
        <v>52</v>
      </c>
      <c r="H1792" s="707"/>
      <c r="I1792" s="708" t="s">
        <v>53</v>
      </c>
      <c r="K1792" s="521"/>
      <c r="L1792" s="521"/>
      <c r="M1792" s="521"/>
    </row>
    <row r="1793" spans="1:13" s="17" customFormat="1" ht="16.5" customHeight="1" x14ac:dyDescent="0.25">
      <c r="A1793" s="574" t="s">
        <v>88</v>
      </c>
      <c r="B1793" s="704"/>
      <c r="C1793" s="705"/>
      <c r="D1793" s="381" t="s">
        <v>541</v>
      </c>
      <c r="E1793" s="41" t="s">
        <v>573</v>
      </c>
      <c r="F1793" s="41" t="s">
        <v>607</v>
      </c>
      <c r="G1793" s="24" t="s">
        <v>55</v>
      </c>
      <c r="H1793" s="24" t="s">
        <v>56</v>
      </c>
      <c r="I1793" s="709"/>
      <c r="K1793" s="521"/>
      <c r="L1793" s="521"/>
      <c r="M1793" s="521"/>
    </row>
    <row r="1794" spans="1:13" s="17" customFormat="1" ht="16.5" customHeight="1" x14ac:dyDescent="0.25">
      <c r="A1794" s="132">
        <v>1</v>
      </c>
      <c r="B1794" s="710">
        <v>2</v>
      </c>
      <c r="C1794" s="711"/>
      <c r="D1794" s="513">
        <v>3</v>
      </c>
      <c r="E1794" s="129">
        <v>4</v>
      </c>
      <c r="F1794" s="129">
        <v>5</v>
      </c>
      <c r="G1794" s="129">
        <v>6</v>
      </c>
      <c r="H1794" s="129">
        <v>7</v>
      </c>
      <c r="I1794" s="142">
        <v>8</v>
      </c>
      <c r="K1794" s="521"/>
      <c r="L1794" s="521"/>
      <c r="M1794" s="521"/>
    </row>
    <row r="1795" spans="1:13" s="17" customFormat="1" ht="16.5" customHeight="1" x14ac:dyDescent="0.25">
      <c r="A1795" s="79">
        <v>50008</v>
      </c>
      <c r="B1795" s="712" t="s">
        <v>392</v>
      </c>
      <c r="C1795" s="713"/>
      <c r="D1795" s="82">
        <f t="shared" ref="D1795:F1796" si="144">D285</f>
        <v>11830</v>
      </c>
      <c r="E1795" s="289">
        <f t="shared" si="144"/>
        <v>0</v>
      </c>
      <c r="F1795" s="82">
        <f t="shared" si="144"/>
        <v>23430</v>
      </c>
      <c r="G1795" s="86">
        <f>F1795/D1795</f>
        <v>1.9805579036348266</v>
      </c>
      <c r="H1795" s="144" t="e">
        <f>F1795/E1795</f>
        <v>#DIV/0!</v>
      </c>
      <c r="I1795" s="87">
        <f>F1795/F1798</f>
        <v>0.46732597592443481</v>
      </c>
      <c r="K1795" s="521"/>
      <c r="L1795" s="521"/>
      <c r="M1795" s="521"/>
    </row>
    <row r="1796" spans="1:13" s="17" customFormat="1" ht="16.5" customHeight="1" x14ac:dyDescent="0.25">
      <c r="A1796" s="79" t="s">
        <v>342</v>
      </c>
      <c r="B1796" s="712" t="s">
        <v>343</v>
      </c>
      <c r="C1796" s="713"/>
      <c r="D1796" s="82">
        <f t="shared" si="144"/>
        <v>33571.58</v>
      </c>
      <c r="E1796" s="289">
        <f t="shared" si="144"/>
        <v>0</v>
      </c>
      <c r="F1796" s="82">
        <f t="shared" si="144"/>
        <v>26706.31</v>
      </c>
      <c r="G1796" s="86">
        <f>F1796/D1796</f>
        <v>0.79550351815434361</v>
      </c>
      <c r="H1796" s="144" t="e">
        <f>F1796/E1796</f>
        <v>#DIV/0!</v>
      </c>
      <c r="I1796" s="87">
        <f>F1796/F1798</f>
        <v>0.5326740240755653</v>
      </c>
      <c r="K1796" s="521"/>
      <c r="L1796" s="521"/>
      <c r="M1796" s="521"/>
    </row>
    <row r="1797" spans="1:13" s="17" customFormat="1" ht="16.5" customHeight="1" x14ac:dyDescent="0.25">
      <c r="A1797" s="89" t="s">
        <v>480</v>
      </c>
      <c r="B1797" s="736" t="s">
        <v>97</v>
      </c>
      <c r="C1797" s="737"/>
      <c r="D1797" s="396">
        <f>SUM(D1795:D1796)</f>
        <v>45401.58</v>
      </c>
      <c r="E1797" s="429"/>
      <c r="F1797" s="390"/>
      <c r="G1797" s="86"/>
      <c r="H1797" s="144"/>
      <c r="I1797" s="87"/>
      <c r="K1797" s="521"/>
      <c r="L1797" s="521"/>
      <c r="M1797" s="521"/>
    </row>
    <row r="1798" spans="1:13" s="17" customFormat="1" ht="16.5" customHeight="1" x14ac:dyDescent="0.25">
      <c r="A1798" s="45"/>
      <c r="B1798" s="718" t="s">
        <v>333</v>
      </c>
      <c r="C1798" s="719"/>
      <c r="D1798" s="482">
        <f>D1797</f>
        <v>45401.58</v>
      </c>
      <c r="E1798" s="482">
        <f>E1795+E1796</f>
        <v>0</v>
      </c>
      <c r="F1798" s="482">
        <f>F1795+F1796</f>
        <v>50136.31</v>
      </c>
      <c r="G1798" s="148">
        <f>F1798/D1798</f>
        <v>1.1042855777265901</v>
      </c>
      <c r="H1798" s="137" t="e">
        <f>F1798/E1798</f>
        <v>#DIV/0!</v>
      </c>
      <c r="I1798" s="137">
        <f>I1795+I1796</f>
        <v>1</v>
      </c>
      <c r="K1798" s="521"/>
      <c r="L1798" s="521"/>
      <c r="M1798" s="521"/>
    </row>
    <row r="1799" spans="1:13" s="17" customFormat="1" ht="16.5" customHeight="1" x14ac:dyDescent="0.25">
      <c r="A1799" s="170"/>
      <c r="B1799" s="170"/>
      <c r="C1799" s="170"/>
      <c r="D1799" s="290"/>
      <c r="E1799" s="290"/>
      <c r="F1799" s="172"/>
      <c r="G1799" s="284"/>
      <c r="H1799" s="284"/>
      <c r="I1799" s="245"/>
      <c r="K1799" s="521"/>
      <c r="L1799" s="521"/>
      <c r="M1799" s="521"/>
    </row>
    <row r="1800" spans="1:13" s="17" customFormat="1" ht="16.5" customHeight="1" x14ac:dyDescent="0.25">
      <c r="A1800" s="742" t="s">
        <v>814</v>
      </c>
      <c r="B1800" s="742"/>
      <c r="C1800" s="742"/>
      <c r="D1800" s="742"/>
      <c r="E1800" s="742"/>
      <c r="F1800" s="742"/>
      <c r="G1800" s="742"/>
      <c r="H1800" s="742"/>
      <c r="I1800" s="742"/>
      <c r="K1800" s="521"/>
      <c r="L1800" s="521"/>
      <c r="M1800" s="521"/>
    </row>
    <row r="1801" spans="1:13" s="17" customFormat="1" ht="16.5" customHeight="1" x14ac:dyDescent="0.25">
      <c r="A1801" s="742" t="s">
        <v>815</v>
      </c>
      <c r="B1801" s="742"/>
      <c r="C1801" s="742"/>
      <c r="D1801" s="742"/>
      <c r="E1801" s="742"/>
      <c r="F1801" s="742"/>
      <c r="G1801" s="742"/>
      <c r="H1801" s="742"/>
      <c r="I1801" s="742"/>
      <c r="K1801" s="521"/>
      <c r="L1801" s="521"/>
      <c r="M1801" s="521"/>
    </row>
    <row r="1802" spans="1:13" s="17" customFormat="1" ht="16.5" customHeight="1" x14ac:dyDescent="0.25">
      <c r="A1802" s="742" t="s">
        <v>816</v>
      </c>
      <c r="B1802" s="742"/>
      <c r="C1802" s="742"/>
      <c r="D1802" s="742"/>
      <c r="E1802" s="742"/>
      <c r="F1802" s="742"/>
      <c r="G1802" s="742"/>
      <c r="H1802" s="742"/>
      <c r="I1802" s="742"/>
      <c r="K1802" s="521"/>
      <c r="L1802" s="521"/>
      <c r="M1802" s="521"/>
    </row>
    <row r="1803" spans="1:13" s="17" customFormat="1" ht="16.5" customHeight="1" x14ac:dyDescent="0.25">
      <c r="A1803" s="742" t="s">
        <v>817</v>
      </c>
      <c r="B1803" s="742"/>
      <c r="C1803" s="742"/>
      <c r="D1803" s="742"/>
      <c r="E1803" s="742"/>
      <c r="F1803" s="742"/>
      <c r="G1803" s="742"/>
      <c r="H1803" s="742"/>
      <c r="I1803" s="742"/>
      <c r="K1803" s="521"/>
      <c r="L1803" s="521"/>
      <c r="M1803" s="521"/>
    </row>
    <row r="1804" spans="1:13" s="17" customFormat="1" ht="16.5" customHeight="1" x14ac:dyDescent="0.25">
      <c r="A1804" s="742" t="s">
        <v>818</v>
      </c>
      <c r="B1804" s="742"/>
      <c r="C1804" s="742"/>
      <c r="D1804" s="742"/>
      <c r="E1804" s="742"/>
      <c r="F1804" s="742"/>
      <c r="G1804" s="742"/>
      <c r="H1804" s="742"/>
      <c r="I1804" s="742"/>
      <c r="K1804" s="521"/>
      <c r="L1804" s="521"/>
      <c r="M1804" s="521"/>
    </row>
    <row r="1805" spans="1:13" s="17" customFormat="1" ht="16.5" customHeight="1" x14ac:dyDescent="0.25">
      <c r="A1805" s="527"/>
      <c r="B1805" s="527"/>
      <c r="C1805" s="527"/>
      <c r="D1805" s="527"/>
      <c r="E1805" s="527"/>
      <c r="F1805" s="527"/>
      <c r="G1805" s="527"/>
      <c r="H1805" s="527"/>
      <c r="I1805" s="216"/>
      <c r="K1805" s="521"/>
      <c r="L1805" s="521"/>
      <c r="M1805" s="521"/>
    </row>
    <row r="1806" spans="1:13" s="17" customFormat="1" ht="16.5" customHeight="1" x14ac:dyDescent="0.25">
      <c r="A1806" s="725" t="s">
        <v>423</v>
      </c>
      <c r="B1806" s="725"/>
      <c r="C1806" s="725"/>
      <c r="D1806" s="725"/>
      <c r="E1806" s="725"/>
      <c r="F1806" s="725"/>
      <c r="G1806" s="725"/>
      <c r="H1806" s="725"/>
      <c r="I1806" s="725"/>
      <c r="K1806" s="521"/>
      <c r="L1806" s="521"/>
      <c r="M1806" s="521"/>
    </row>
    <row r="1807" spans="1:13" s="17" customFormat="1" ht="16.5" customHeight="1" x14ac:dyDescent="0.25">
      <c r="A1807" s="523"/>
      <c r="B1807" s="523"/>
      <c r="C1807" s="523"/>
      <c r="D1807" s="523"/>
      <c r="E1807" s="701" t="s">
        <v>85</v>
      </c>
      <c r="F1807" s="523"/>
      <c r="G1807" s="523"/>
      <c r="H1807" s="523"/>
      <c r="I1807" s="523"/>
      <c r="K1807" s="521"/>
      <c r="L1807" s="521"/>
      <c r="M1807" s="521"/>
    </row>
    <row r="1808" spans="1:13" s="17" customFormat="1" ht="18" customHeight="1" x14ac:dyDescent="0.25">
      <c r="A1808" s="192"/>
      <c r="B1808" s="214"/>
      <c r="C1808" s="15"/>
      <c r="D1808" s="537"/>
      <c r="E1808" s="701"/>
      <c r="F1808" s="537"/>
      <c r="G1808" s="192"/>
      <c r="H1808" s="537"/>
      <c r="I1808" s="537"/>
      <c r="K1808" s="521"/>
      <c r="L1808" s="521"/>
      <c r="M1808" s="521"/>
    </row>
    <row r="1809" spans="1:13" s="17" customFormat="1" ht="17.25" customHeight="1" x14ac:dyDescent="0.25">
      <c r="A1809" s="557" t="s">
        <v>48</v>
      </c>
      <c r="B1809" s="702" t="s">
        <v>49</v>
      </c>
      <c r="C1809" s="703"/>
      <c r="D1809" s="380" t="s">
        <v>86</v>
      </c>
      <c r="E1809" s="530" t="s">
        <v>152</v>
      </c>
      <c r="F1809" s="40" t="s">
        <v>87</v>
      </c>
      <c r="G1809" s="706" t="s">
        <v>52</v>
      </c>
      <c r="H1809" s="707"/>
      <c r="I1809" s="708" t="s">
        <v>53</v>
      </c>
      <c r="K1809" s="521"/>
      <c r="L1809" s="521"/>
      <c r="M1809" s="521"/>
    </row>
    <row r="1810" spans="1:13" s="17" customFormat="1" ht="16.5" customHeight="1" x14ac:dyDescent="0.25">
      <c r="A1810" s="574" t="s">
        <v>88</v>
      </c>
      <c r="B1810" s="704"/>
      <c r="C1810" s="705"/>
      <c r="D1810" s="381" t="s">
        <v>541</v>
      </c>
      <c r="E1810" s="41" t="s">
        <v>573</v>
      </c>
      <c r="F1810" s="41" t="s">
        <v>607</v>
      </c>
      <c r="G1810" s="24" t="s">
        <v>55</v>
      </c>
      <c r="H1810" s="24" t="s">
        <v>56</v>
      </c>
      <c r="I1810" s="709"/>
      <c r="K1810" s="521"/>
      <c r="L1810" s="521"/>
      <c r="M1810" s="521"/>
    </row>
    <row r="1811" spans="1:13" s="17" customFormat="1" ht="16.5" customHeight="1" x14ac:dyDescent="0.25">
      <c r="A1811" s="142">
        <v>1</v>
      </c>
      <c r="B1811" s="710">
        <v>2</v>
      </c>
      <c r="C1811" s="711"/>
      <c r="D1811" s="513">
        <v>3</v>
      </c>
      <c r="E1811" s="129">
        <v>4</v>
      </c>
      <c r="F1811" s="129">
        <v>5</v>
      </c>
      <c r="G1811" s="129">
        <v>6</v>
      </c>
      <c r="H1811" s="129">
        <v>7</v>
      </c>
      <c r="I1811" s="142">
        <v>8</v>
      </c>
      <c r="K1811" s="521"/>
      <c r="L1811" s="521"/>
      <c r="M1811" s="521"/>
    </row>
    <row r="1812" spans="1:13" s="17" customFormat="1" ht="16.5" customHeight="1" x14ac:dyDescent="0.25">
      <c r="A1812" s="81">
        <v>111</v>
      </c>
      <c r="B1812" s="716" t="s">
        <v>184</v>
      </c>
      <c r="C1812" s="717"/>
      <c r="D1812" s="5">
        <f>D668</f>
        <v>61095.1</v>
      </c>
      <c r="E1812" s="5">
        <f>E668</f>
        <v>128580.3</v>
      </c>
      <c r="F1812" s="5">
        <f>F668</f>
        <v>93546.55</v>
      </c>
      <c r="G1812" s="86">
        <f t="shared" ref="G1812:G1817" si="145">F1812/D1812</f>
        <v>1.5311628919504183</v>
      </c>
      <c r="H1812" s="87">
        <f t="shared" ref="H1812:H1817" si="146">F1812/E1812</f>
        <v>0.7275340779264009</v>
      </c>
      <c r="I1812" s="87">
        <f>F1812/F1817</f>
        <v>1.7164940009716762E-2</v>
      </c>
      <c r="K1812" s="521"/>
      <c r="L1812" s="521"/>
      <c r="M1812" s="521"/>
    </row>
    <row r="1813" spans="1:13" s="17" customFormat="1" ht="16.5" customHeight="1" x14ac:dyDescent="0.25">
      <c r="A1813" s="81">
        <v>130</v>
      </c>
      <c r="B1813" s="716" t="s">
        <v>185</v>
      </c>
      <c r="C1813" s="717"/>
      <c r="D1813" s="428">
        <f>D878</f>
        <v>479102.23</v>
      </c>
      <c r="E1813" s="266">
        <f>E878</f>
        <v>682000</v>
      </c>
      <c r="F1813" s="428">
        <f>F878</f>
        <v>618048.6</v>
      </c>
      <c r="G1813" s="86">
        <f t="shared" si="145"/>
        <v>1.2900140331219081</v>
      </c>
      <c r="H1813" s="87">
        <f t="shared" si="146"/>
        <v>0.90622961876832842</v>
      </c>
      <c r="I1813" s="87">
        <f>F1813/F1817</f>
        <v>0.11340628961826417</v>
      </c>
      <c r="K1813" s="521"/>
      <c r="L1813" s="521"/>
      <c r="M1813" s="521"/>
    </row>
    <row r="1814" spans="1:13" s="17" customFormat="1" ht="16.5" customHeight="1" x14ac:dyDescent="0.25">
      <c r="A1814" s="81">
        <v>132</v>
      </c>
      <c r="B1814" s="716" t="s">
        <v>186</v>
      </c>
      <c r="C1814" s="717"/>
      <c r="D1814" s="5">
        <f>D999</f>
        <v>243010.02</v>
      </c>
      <c r="E1814" s="145">
        <f>E999</f>
        <v>401053.18</v>
      </c>
      <c r="F1814" s="5">
        <f>F999</f>
        <v>334344.86</v>
      </c>
      <c r="G1814" s="86">
        <f t="shared" si="145"/>
        <v>1.3758480411630762</v>
      </c>
      <c r="H1814" s="87">
        <f t="shared" si="146"/>
        <v>0.83366714608770831</v>
      </c>
      <c r="I1814" s="87">
        <f>F1814/F1817</f>
        <v>6.1349236978350867E-2</v>
      </c>
      <c r="K1814" s="521"/>
      <c r="L1814" s="521"/>
      <c r="M1814" s="521"/>
    </row>
    <row r="1815" spans="1:13" s="17" customFormat="1" ht="16.5" customHeight="1" x14ac:dyDescent="0.25">
      <c r="A1815" s="81">
        <v>200</v>
      </c>
      <c r="B1815" s="716" t="s">
        <v>187</v>
      </c>
      <c r="C1815" s="717"/>
      <c r="D1815" s="5">
        <v>0</v>
      </c>
      <c r="E1815" s="156">
        <v>0</v>
      </c>
      <c r="F1815" s="5">
        <v>0</v>
      </c>
      <c r="G1815" s="86" t="e">
        <f t="shared" si="145"/>
        <v>#DIV/0!</v>
      </c>
      <c r="H1815" s="87" t="e">
        <f t="shared" si="146"/>
        <v>#DIV/0!</v>
      </c>
      <c r="I1815" s="87">
        <f>F1815/F1817</f>
        <v>0</v>
      </c>
      <c r="K1815" s="521"/>
      <c r="L1815" s="521"/>
      <c r="M1815" s="521"/>
    </row>
    <row r="1816" spans="1:13" s="17" customFormat="1" ht="16.5" customHeight="1" x14ac:dyDescent="0.25">
      <c r="A1816" s="81">
        <v>300</v>
      </c>
      <c r="B1816" s="716" t="s">
        <v>188</v>
      </c>
      <c r="C1816" s="717"/>
      <c r="D1816" s="5">
        <f>D1259</f>
        <v>3588256.44</v>
      </c>
      <c r="E1816" s="5">
        <f>E1259</f>
        <v>7786993.0300000003</v>
      </c>
      <c r="F1816" s="5">
        <f>F1259</f>
        <v>4403921.74</v>
      </c>
      <c r="G1816" s="86">
        <f t="shared" si="145"/>
        <v>1.2273152194217201</v>
      </c>
      <c r="H1816" s="87">
        <f t="shared" si="146"/>
        <v>0.56554843737929994</v>
      </c>
      <c r="I1816" s="87">
        <f>F1816/F1817</f>
        <v>0.80807953339366823</v>
      </c>
      <c r="K1816" s="521"/>
      <c r="L1816" s="521"/>
      <c r="M1816" s="521"/>
    </row>
    <row r="1817" spans="1:13" s="17" customFormat="1" ht="16.5" customHeight="1" x14ac:dyDescent="0.25">
      <c r="A1817" s="146"/>
      <c r="B1817" s="718" t="s">
        <v>84</v>
      </c>
      <c r="C1817" s="719"/>
      <c r="D1817" s="466">
        <f>D1812+D1813+D1814+D1815+D1816</f>
        <v>4371463.79</v>
      </c>
      <c r="E1817" s="466">
        <f>E1812+E1813+E1814+E1815+E1816</f>
        <v>8998626.5099999998</v>
      </c>
      <c r="F1817" s="466">
        <f>F1812+F1813+F1814+F1815+F1816</f>
        <v>5449861.75</v>
      </c>
      <c r="G1817" s="169">
        <f t="shared" si="145"/>
        <v>1.246690356321126</v>
      </c>
      <c r="H1817" s="137">
        <f t="shared" si="146"/>
        <v>0.60563262003858853</v>
      </c>
      <c r="I1817" s="174">
        <f>SUM(I1812:I1816)</f>
        <v>1</v>
      </c>
      <c r="K1817" s="521"/>
      <c r="L1817" s="521"/>
      <c r="M1817" s="521"/>
    </row>
    <row r="1818" spans="1:13" s="17" customFormat="1" ht="16.5" customHeight="1" x14ac:dyDescent="0.25">
      <c r="A1818" s="170"/>
      <c r="B1818" s="542"/>
      <c r="C1818" s="542"/>
      <c r="D1818" s="283"/>
      <c r="E1818" s="283"/>
      <c r="F1818" s="283"/>
      <c r="G1818" s="172"/>
      <c r="H1818" s="191"/>
      <c r="I1818" s="410"/>
      <c r="K1818" s="521"/>
      <c r="L1818" s="521"/>
      <c r="M1818" s="521"/>
    </row>
    <row r="1819" spans="1:13" s="17" customFormat="1" ht="16.5" customHeight="1" x14ac:dyDescent="0.25">
      <c r="A1819" s="525"/>
      <c r="B1819" s="715" t="s">
        <v>819</v>
      </c>
      <c r="C1819" s="715"/>
      <c r="D1819" s="715"/>
      <c r="E1819" s="715"/>
      <c r="F1819" s="715"/>
      <c r="G1819" s="715"/>
      <c r="H1819" s="715"/>
      <c r="I1819" s="715"/>
      <c r="K1819" s="521"/>
      <c r="L1819" s="521"/>
      <c r="M1819" s="521"/>
    </row>
    <row r="1820" spans="1:13" s="17" customFormat="1" ht="16.5" customHeight="1" x14ac:dyDescent="0.25">
      <c r="A1820" s="715" t="s">
        <v>820</v>
      </c>
      <c r="B1820" s="715"/>
      <c r="C1820" s="715"/>
      <c r="D1820" s="715"/>
      <c r="E1820" s="715"/>
      <c r="F1820" s="715"/>
      <c r="G1820" s="715"/>
      <c r="H1820" s="715"/>
      <c r="I1820" s="715"/>
      <c r="K1820" s="521"/>
      <c r="L1820" s="521"/>
      <c r="M1820" s="521"/>
    </row>
    <row r="1821" spans="1:13" s="17" customFormat="1" ht="16.5" customHeight="1" x14ac:dyDescent="0.25">
      <c r="A1821" s="586" t="s">
        <v>821</v>
      </c>
      <c r="B1821" s="586"/>
      <c r="C1821" s="586"/>
      <c r="D1821" s="586"/>
      <c r="E1821" s="586"/>
      <c r="F1821" s="586"/>
      <c r="G1821" s="586"/>
      <c r="H1821" s="586"/>
      <c r="I1821" s="586"/>
      <c r="K1821" s="521"/>
      <c r="L1821" s="521"/>
      <c r="M1821" s="521"/>
    </row>
    <row r="1822" spans="1:13" s="17" customFormat="1" ht="16.5" customHeight="1" x14ac:dyDescent="0.25">
      <c r="A1822" s="714" t="s">
        <v>822</v>
      </c>
      <c r="B1822" s="714"/>
      <c r="C1822" s="714"/>
      <c r="D1822" s="714"/>
      <c r="E1822" s="714"/>
      <c r="F1822" s="714"/>
      <c r="G1822" s="714"/>
      <c r="H1822" s="714"/>
      <c r="I1822" s="714"/>
      <c r="K1822" s="521"/>
      <c r="L1822" s="521"/>
      <c r="M1822" s="521"/>
    </row>
    <row r="1823" spans="1:13" s="17" customFormat="1" ht="16.5" customHeight="1" x14ac:dyDescent="0.25">
      <c r="A1823" s="537" t="s">
        <v>823</v>
      </c>
      <c r="B1823" s="537"/>
      <c r="C1823" s="537"/>
      <c r="D1823" s="537"/>
      <c r="E1823" s="537"/>
      <c r="F1823" s="537"/>
      <c r="G1823" s="537"/>
      <c r="H1823" s="537"/>
      <c r="I1823" s="537"/>
      <c r="K1823" s="521"/>
      <c r="L1823" s="521"/>
      <c r="M1823" s="521"/>
    </row>
    <row r="1824" spans="1:13" s="17" customFormat="1" ht="16.5" customHeight="1" x14ac:dyDescent="0.25">
      <c r="A1824" s="537" t="s">
        <v>824</v>
      </c>
      <c r="B1824" s="537"/>
      <c r="C1824" s="537"/>
      <c r="D1824" s="537"/>
      <c r="E1824" s="537"/>
      <c r="F1824" s="537"/>
      <c r="G1824" s="537"/>
      <c r="H1824" s="537"/>
      <c r="I1824" s="537"/>
      <c r="K1824" s="521"/>
      <c r="L1824" s="521"/>
      <c r="M1824" s="521"/>
    </row>
    <row r="1825" spans="1:13" s="17" customFormat="1" ht="16.5" customHeight="1" x14ac:dyDescent="0.25">
      <c r="A1825" s="714" t="s">
        <v>825</v>
      </c>
      <c r="B1825" s="714"/>
      <c r="C1825" s="714"/>
      <c r="D1825" s="714"/>
      <c r="E1825" s="714"/>
      <c r="F1825" s="714"/>
      <c r="G1825" s="714"/>
      <c r="H1825" s="714"/>
      <c r="I1825" s="714"/>
      <c r="K1825" s="521"/>
      <c r="L1825" s="521"/>
      <c r="M1825" s="521"/>
    </row>
    <row r="1826" spans="1:13" s="17" customFormat="1" ht="19.5" customHeight="1" x14ac:dyDescent="0.25">
      <c r="A1826" s="537" t="s">
        <v>826</v>
      </c>
      <c r="B1826" s="537"/>
      <c r="C1826" s="537"/>
      <c r="D1826" s="537"/>
      <c r="E1826" s="537"/>
      <c r="F1826" s="537"/>
      <c r="G1826" s="537"/>
      <c r="H1826" s="537"/>
      <c r="I1826" s="537"/>
      <c r="K1826" s="521"/>
      <c r="L1826" s="521"/>
      <c r="M1826" s="521"/>
    </row>
    <row r="1827" spans="1:13" s="17" customFormat="1" ht="16.5" customHeight="1" x14ac:dyDescent="0.25">
      <c r="A1827" s="714" t="s">
        <v>393</v>
      </c>
      <c r="B1827" s="714"/>
      <c r="C1827" s="714"/>
      <c r="D1827" s="714"/>
      <c r="E1827" s="714"/>
      <c r="F1827" s="714"/>
      <c r="G1827" s="714"/>
      <c r="H1827" s="714"/>
      <c r="I1827" s="714"/>
      <c r="K1827" s="521"/>
      <c r="L1827" s="521"/>
      <c r="M1827" s="521"/>
    </row>
    <row r="1828" spans="1:13" s="17" customFormat="1" ht="16.5" customHeight="1" x14ac:dyDescent="0.25">
      <c r="A1828" s="537" t="s">
        <v>827</v>
      </c>
      <c r="B1828" s="537"/>
      <c r="C1828" s="537"/>
      <c r="D1828" s="537"/>
      <c r="E1828" s="537"/>
      <c r="F1828" s="537"/>
      <c r="G1828" s="537"/>
      <c r="H1828" s="537"/>
      <c r="I1828" s="537"/>
      <c r="K1828" s="521"/>
      <c r="L1828" s="521"/>
      <c r="M1828" s="521"/>
    </row>
    <row r="1829" spans="1:13" s="17" customFormat="1" ht="17.25" customHeight="1" x14ac:dyDescent="0.25">
      <c r="A1829" s="714" t="s">
        <v>457</v>
      </c>
      <c r="B1829" s="714"/>
      <c r="C1829" s="714"/>
      <c r="D1829" s="714"/>
      <c r="E1829" s="714"/>
      <c r="F1829" s="714"/>
      <c r="G1829" s="714"/>
      <c r="H1829" s="714"/>
      <c r="I1829" s="714"/>
      <c r="K1829" s="521"/>
      <c r="L1829" s="521"/>
      <c r="M1829" s="521"/>
    </row>
    <row r="1830" spans="1:13" s="17" customFormat="1" ht="16.5" customHeight="1" x14ac:dyDescent="0.25">
      <c r="A1830" s="537" t="s">
        <v>828</v>
      </c>
      <c r="B1830" s="537"/>
      <c r="C1830" s="537"/>
      <c r="D1830" s="537"/>
      <c r="E1830" s="537"/>
      <c r="F1830" s="537"/>
      <c r="G1830" s="537"/>
      <c r="H1830" s="537"/>
      <c r="I1830" s="537"/>
      <c r="K1830" s="521"/>
      <c r="L1830" s="521"/>
      <c r="M1830" s="521"/>
    </row>
    <row r="1831" spans="1:13" s="17" customFormat="1" ht="15" customHeight="1" x14ac:dyDescent="0.25">
      <c r="A1831" s="537" t="s">
        <v>829</v>
      </c>
      <c r="B1831" s="537"/>
      <c r="C1831" s="537"/>
      <c r="D1831" s="537"/>
      <c r="E1831" s="537"/>
      <c r="F1831" s="537"/>
      <c r="G1831" s="537"/>
      <c r="H1831" s="537"/>
      <c r="I1831" s="537"/>
      <c r="K1831" s="521"/>
      <c r="L1831" s="521"/>
      <c r="M1831" s="521"/>
    </row>
    <row r="1832" spans="1:13" s="17" customFormat="1" ht="15" customHeight="1" x14ac:dyDescent="0.25">
      <c r="A1832" s="714"/>
      <c r="B1832" s="714"/>
      <c r="C1832" s="714"/>
      <c r="D1832" s="714"/>
      <c r="E1832" s="714"/>
      <c r="F1832" s="714"/>
      <c r="G1832" s="714"/>
      <c r="H1832" s="714"/>
      <c r="I1832" s="714"/>
      <c r="K1832" s="521"/>
      <c r="L1832" s="521"/>
      <c r="M1832" s="521"/>
    </row>
    <row r="1833" spans="1:13" s="17" customFormat="1" ht="15" customHeight="1" x14ac:dyDescent="0.25">
      <c r="A1833" s="677"/>
      <c r="B1833" s="677"/>
      <c r="C1833" s="677"/>
      <c r="D1833" s="677"/>
      <c r="E1833" s="677"/>
      <c r="F1833" s="677"/>
      <c r="G1833" s="677"/>
      <c r="H1833" s="677"/>
      <c r="I1833" s="677"/>
      <c r="K1833" s="675"/>
      <c r="L1833" s="675"/>
      <c r="M1833" s="675"/>
    </row>
    <row r="1834" spans="1:13" s="17" customFormat="1" ht="15" customHeight="1" x14ac:dyDescent="0.25">
      <c r="A1834" s="677"/>
      <c r="B1834" s="677"/>
      <c r="C1834" s="677"/>
      <c r="D1834" s="677"/>
      <c r="E1834" s="677"/>
      <c r="F1834" s="677"/>
      <c r="G1834" s="677"/>
      <c r="H1834" s="677"/>
      <c r="I1834" s="677"/>
      <c r="K1834" s="675"/>
      <c r="L1834" s="675"/>
      <c r="M1834" s="675"/>
    </row>
    <row r="1835" spans="1:13" s="17" customFormat="1" ht="15" customHeight="1" x14ac:dyDescent="0.25">
      <c r="A1835" s="677"/>
      <c r="B1835" s="677"/>
      <c r="C1835" s="677"/>
      <c r="D1835" s="677"/>
      <c r="E1835" s="677"/>
      <c r="F1835" s="677"/>
      <c r="G1835" s="677"/>
      <c r="H1835" s="677"/>
      <c r="I1835" s="677"/>
      <c r="K1835" s="675"/>
      <c r="L1835" s="675"/>
      <c r="M1835" s="675"/>
    </row>
    <row r="1836" spans="1:13" s="17" customFormat="1" ht="15" customHeight="1" x14ac:dyDescent="0.25">
      <c r="A1836" s="677"/>
      <c r="B1836" s="677"/>
      <c r="C1836" s="677"/>
      <c r="D1836" s="677"/>
      <c r="E1836" s="677"/>
      <c r="F1836" s="677"/>
      <c r="G1836" s="677"/>
      <c r="H1836" s="677"/>
      <c r="I1836" s="677"/>
      <c r="K1836" s="675"/>
      <c r="L1836" s="675"/>
      <c r="M1836" s="675"/>
    </row>
    <row r="1837" spans="1:13" s="17" customFormat="1" ht="15" customHeight="1" x14ac:dyDescent="0.25">
      <c r="A1837" s="677"/>
      <c r="B1837" s="677"/>
      <c r="C1837" s="677"/>
      <c r="D1837" s="677"/>
      <c r="E1837" s="677"/>
      <c r="F1837" s="677"/>
      <c r="G1837" s="677"/>
      <c r="H1837" s="677"/>
      <c r="I1837" s="677"/>
      <c r="K1837" s="675"/>
      <c r="L1837" s="675"/>
      <c r="M1837" s="675"/>
    </row>
    <row r="1838" spans="1:13" s="17" customFormat="1" ht="15" customHeight="1" x14ac:dyDescent="0.25">
      <c r="A1838" s="677"/>
      <c r="B1838" s="677"/>
      <c r="C1838" s="677"/>
      <c r="D1838" s="677"/>
      <c r="E1838" s="677"/>
      <c r="F1838" s="677"/>
      <c r="G1838" s="677"/>
      <c r="H1838" s="677"/>
      <c r="I1838" s="677"/>
      <c r="K1838" s="675"/>
      <c r="L1838" s="675"/>
      <c r="M1838" s="675"/>
    </row>
    <row r="1839" spans="1:13" s="17" customFormat="1" ht="15" customHeight="1" x14ac:dyDescent="0.25">
      <c r="A1839" s="677"/>
      <c r="B1839" s="677"/>
      <c r="C1839" s="677"/>
      <c r="D1839" s="677"/>
      <c r="E1839" s="677"/>
      <c r="F1839" s="677"/>
      <c r="G1839" s="677"/>
      <c r="H1839" s="677"/>
      <c r="I1839" s="677"/>
      <c r="K1839" s="675"/>
      <c r="L1839" s="675"/>
      <c r="M1839" s="675"/>
    </row>
    <row r="1840" spans="1:13" s="17" customFormat="1" ht="15" customHeight="1" x14ac:dyDescent="0.25">
      <c r="A1840" s="677"/>
      <c r="B1840" s="677"/>
      <c r="C1840" s="677"/>
      <c r="D1840" s="677"/>
      <c r="E1840" s="677"/>
      <c r="F1840" s="677"/>
      <c r="G1840" s="677"/>
      <c r="H1840" s="677"/>
      <c r="I1840" s="677"/>
      <c r="K1840" s="675"/>
      <c r="L1840" s="675"/>
      <c r="M1840" s="675"/>
    </row>
    <row r="1841" spans="1:13" s="17" customFormat="1" ht="15" customHeight="1" x14ac:dyDescent="0.25">
      <c r="A1841" s="677"/>
      <c r="B1841" s="677"/>
      <c r="C1841" s="677"/>
      <c r="D1841" s="677"/>
      <c r="E1841" s="677"/>
      <c r="F1841" s="677"/>
      <c r="G1841" s="677"/>
      <c r="H1841" s="677"/>
      <c r="I1841" s="677"/>
      <c r="K1841" s="675"/>
      <c r="L1841" s="675"/>
      <c r="M1841" s="675"/>
    </row>
    <row r="1842" spans="1:13" s="17" customFormat="1" ht="15" customHeight="1" x14ac:dyDescent="0.25">
      <c r="A1842" s="677"/>
      <c r="B1842" s="677"/>
      <c r="C1842" s="677"/>
      <c r="D1842" s="677"/>
      <c r="E1842" s="677"/>
      <c r="F1842" s="677"/>
      <c r="G1842" s="677"/>
      <c r="H1842" s="677"/>
      <c r="I1842" s="409">
        <v>30</v>
      </c>
      <c r="K1842" s="675"/>
      <c r="L1842" s="675"/>
      <c r="M1842" s="675"/>
    </row>
    <row r="1843" spans="1:13" s="17" customFormat="1" ht="16.5" customHeight="1" x14ac:dyDescent="0.25">
      <c r="A1843" s="523"/>
      <c r="B1843" s="523"/>
      <c r="C1843" s="523"/>
      <c r="D1843" s="523"/>
      <c r="E1843" s="523"/>
      <c r="F1843" s="523"/>
      <c r="G1843" s="523"/>
      <c r="H1843" s="523"/>
      <c r="I1843" s="523"/>
      <c r="K1843" s="521"/>
      <c r="L1843" s="521"/>
      <c r="M1843" s="521"/>
    </row>
    <row r="1844" spans="1:13" s="17" customFormat="1" ht="16.5" customHeight="1" x14ac:dyDescent="0.25">
      <c r="A1844" s="523"/>
      <c r="B1844" s="523"/>
      <c r="C1844" s="523"/>
      <c r="D1844" s="523"/>
      <c r="E1844" s="523"/>
      <c r="F1844" s="523"/>
      <c r="G1844" s="523"/>
      <c r="H1844" s="523"/>
      <c r="I1844" s="523"/>
      <c r="K1844" s="521"/>
      <c r="L1844" s="521"/>
      <c r="M1844" s="521"/>
    </row>
    <row r="1845" spans="1:13" s="17" customFormat="1" ht="16.5" customHeight="1" x14ac:dyDescent="0.25">
      <c r="A1845" s="722" t="s">
        <v>429</v>
      </c>
      <c r="B1845" s="722"/>
      <c r="C1845" s="722"/>
      <c r="D1845" s="722"/>
      <c r="E1845" s="722"/>
      <c r="F1845" s="540"/>
      <c r="G1845" s="540"/>
      <c r="H1845" s="260"/>
      <c r="I1845" s="245"/>
      <c r="K1845" s="521"/>
      <c r="L1845" s="521"/>
      <c r="M1845" s="521"/>
    </row>
    <row r="1846" spans="1:13" s="17" customFormat="1" ht="16.5" customHeight="1" x14ac:dyDescent="0.25">
      <c r="A1846" s="529"/>
      <c r="B1846" s="529"/>
      <c r="C1846" s="529"/>
      <c r="D1846" s="529"/>
      <c r="E1846" s="529"/>
      <c r="F1846" s="540"/>
      <c r="G1846" s="540"/>
      <c r="H1846" s="260"/>
      <c r="I1846" s="245"/>
      <c r="K1846" s="521"/>
      <c r="L1846" s="521"/>
      <c r="M1846" s="521"/>
    </row>
    <row r="1847" spans="1:13" s="17" customFormat="1" ht="16.5" customHeight="1" x14ac:dyDescent="0.25">
      <c r="A1847" s="524"/>
      <c r="B1847" s="720" t="s">
        <v>830</v>
      </c>
      <c r="C1847" s="720"/>
      <c r="D1847" s="720"/>
      <c r="E1847" s="720"/>
      <c r="F1847" s="720"/>
      <c r="G1847" s="720"/>
      <c r="H1847" s="720"/>
      <c r="I1847" s="720"/>
      <c r="K1847" s="521"/>
      <c r="L1847" s="521"/>
      <c r="M1847" s="521"/>
    </row>
    <row r="1848" spans="1:13" s="17" customFormat="1" ht="16.5" customHeight="1" x14ac:dyDescent="0.25">
      <c r="A1848" s="524"/>
      <c r="B1848" s="524"/>
      <c r="C1848" s="524"/>
      <c r="D1848" s="524"/>
      <c r="E1848" s="524"/>
      <c r="F1848" s="524"/>
      <c r="G1848" s="524"/>
      <c r="H1848" s="524"/>
      <c r="I1848" s="524"/>
      <c r="K1848" s="521"/>
      <c r="L1848" s="521"/>
      <c r="M1848" s="521"/>
    </row>
    <row r="1849" spans="1:13" s="17" customFormat="1" ht="16.5" customHeight="1" x14ac:dyDescent="0.25">
      <c r="A1849" s="767" t="s">
        <v>421</v>
      </c>
      <c r="B1849" s="767"/>
      <c r="C1849" s="767"/>
      <c r="D1849" s="767"/>
      <c r="E1849" s="767"/>
      <c r="F1849" s="767"/>
      <c r="G1849" s="767"/>
      <c r="H1849" s="767"/>
      <c r="I1849" s="767"/>
      <c r="K1849" s="521"/>
      <c r="L1849" s="521"/>
      <c r="M1849" s="521"/>
    </row>
    <row r="1850" spans="1:13" s="17" customFormat="1" ht="16.5" customHeight="1" x14ac:dyDescent="0.25">
      <c r="A1850" s="523"/>
      <c r="B1850" s="523"/>
      <c r="C1850" s="523"/>
      <c r="D1850" s="523"/>
      <c r="E1850" s="701" t="s">
        <v>85</v>
      </c>
      <c r="F1850" s="523"/>
      <c r="G1850" s="523"/>
      <c r="H1850" s="523"/>
      <c r="I1850" s="523"/>
      <c r="K1850" s="521"/>
      <c r="L1850" s="521"/>
      <c r="M1850" s="521"/>
    </row>
    <row r="1851" spans="1:13" s="17" customFormat="1" ht="16.5" customHeight="1" x14ac:dyDescent="0.25">
      <c r="A1851" s="192"/>
      <c r="B1851" s="214"/>
      <c r="C1851" s="15"/>
      <c r="D1851" s="537"/>
      <c r="E1851" s="701"/>
      <c r="F1851" s="537"/>
      <c r="G1851" s="192"/>
      <c r="H1851" s="537"/>
      <c r="I1851" s="537"/>
      <c r="K1851" s="521"/>
      <c r="L1851" s="521"/>
      <c r="M1851" s="521"/>
    </row>
    <row r="1852" spans="1:13" s="17" customFormat="1" ht="12" customHeight="1" x14ac:dyDescent="0.25">
      <c r="A1852" s="557" t="s">
        <v>48</v>
      </c>
      <c r="B1852" s="702" t="s">
        <v>49</v>
      </c>
      <c r="C1852" s="703"/>
      <c r="D1852" s="380" t="s">
        <v>86</v>
      </c>
      <c r="E1852" s="530" t="s">
        <v>152</v>
      </c>
      <c r="F1852" s="40" t="s">
        <v>87</v>
      </c>
      <c r="G1852" s="706" t="s">
        <v>52</v>
      </c>
      <c r="H1852" s="707"/>
      <c r="I1852" s="708" t="s">
        <v>53</v>
      </c>
      <c r="K1852" s="521"/>
      <c r="L1852" s="521"/>
      <c r="M1852" s="521"/>
    </row>
    <row r="1853" spans="1:13" s="17" customFormat="1" ht="16.5" customHeight="1" x14ac:dyDescent="0.25">
      <c r="A1853" s="574" t="s">
        <v>88</v>
      </c>
      <c r="B1853" s="704"/>
      <c r="C1853" s="705"/>
      <c r="D1853" s="381" t="s">
        <v>541</v>
      </c>
      <c r="E1853" s="41" t="s">
        <v>573</v>
      </c>
      <c r="F1853" s="41" t="s">
        <v>607</v>
      </c>
      <c r="G1853" s="24" t="s">
        <v>55</v>
      </c>
      <c r="H1853" s="24" t="s">
        <v>56</v>
      </c>
      <c r="I1853" s="709"/>
      <c r="K1853" s="521"/>
      <c r="L1853" s="521"/>
      <c r="M1853" s="521"/>
    </row>
    <row r="1854" spans="1:13" s="17" customFormat="1" ht="16.5" customHeight="1" x14ac:dyDescent="0.25">
      <c r="A1854" s="142">
        <v>1</v>
      </c>
      <c r="B1854" s="710">
        <v>2</v>
      </c>
      <c r="C1854" s="711"/>
      <c r="D1854" s="513">
        <v>3</v>
      </c>
      <c r="E1854" s="129">
        <v>4</v>
      </c>
      <c r="F1854" s="129">
        <v>5</v>
      </c>
      <c r="G1854" s="129">
        <v>6</v>
      </c>
      <c r="H1854" s="129">
        <v>7</v>
      </c>
      <c r="I1854" s="142">
        <v>8</v>
      </c>
      <c r="K1854" s="521"/>
      <c r="L1854" s="521"/>
      <c r="M1854" s="521"/>
    </row>
    <row r="1855" spans="1:13" s="17" customFormat="1" ht="16.5" customHeight="1" x14ac:dyDescent="0.25">
      <c r="A1855" s="81">
        <v>111</v>
      </c>
      <c r="B1855" s="716" t="s">
        <v>184</v>
      </c>
      <c r="C1855" s="717"/>
      <c r="D1855" s="5">
        <f>D669</f>
        <v>202557.92</v>
      </c>
      <c r="E1855" s="452">
        <f>E669</f>
        <v>355851.54</v>
      </c>
      <c r="F1855" s="5">
        <f>F669</f>
        <v>260346.62</v>
      </c>
      <c r="G1855" s="86">
        <f t="shared" ref="G1855:G1860" si="147">F1855/D1855</f>
        <v>1.2852946949692214</v>
      </c>
      <c r="H1855" s="87">
        <f t="shared" ref="H1855:H1860" si="148">F1855/E1855</f>
        <v>0.7316158305792354</v>
      </c>
      <c r="I1855" s="87">
        <f>F1855/F1860</f>
        <v>0.76363149783386597</v>
      </c>
      <c r="K1855" s="521"/>
      <c r="L1855" s="521"/>
      <c r="M1855" s="521"/>
    </row>
    <row r="1856" spans="1:13" s="17" customFormat="1" ht="16.5" customHeight="1" x14ac:dyDescent="0.25">
      <c r="A1856" s="81">
        <v>130</v>
      </c>
      <c r="B1856" s="716" t="s">
        <v>185</v>
      </c>
      <c r="C1856" s="717"/>
      <c r="D1856" s="428">
        <f>D879</f>
        <v>28596.87</v>
      </c>
      <c r="E1856" s="462">
        <f>E879</f>
        <v>46500</v>
      </c>
      <c r="F1856" s="428">
        <f>F879</f>
        <v>35673.67</v>
      </c>
      <c r="G1856" s="86">
        <f t="shared" si="147"/>
        <v>1.2474676424377913</v>
      </c>
      <c r="H1856" s="87">
        <f t="shared" si="148"/>
        <v>0.76717569892473114</v>
      </c>
      <c r="I1856" s="87">
        <f>F1856/F1860</f>
        <v>0.10463565094615421</v>
      </c>
      <c r="K1856" s="521"/>
      <c r="L1856" s="521"/>
      <c r="M1856" s="521"/>
    </row>
    <row r="1857" spans="1:13" s="17" customFormat="1" ht="16.5" customHeight="1" x14ac:dyDescent="0.25">
      <c r="A1857" s="81">
        <v>132</v>
      </c>
      <c r="B1857" s="716" t="s">
        <v>186</v>
      </c>
      <c r="C1857" s="717"/>
      <c r="D1857" s="5">
        <f>D1000</f>
        <v>10492.78</v>
      </c>
      <c r="E1857" s="463">
        <f>E1000</f>
        <v>34500</v>
      </c>
      <c r="F1857" s="5">
        <f>F1000</f>
        <v>16856.98</v>
      </c>
      <c r="G1857" s="86">
        <f t="shared" si="147"/>
        <v>1.6065313482223014</v>
      </c>
      <c r="H1857" s="87">
        <f t="shared" si="148"/>
        <v>0.48860811594202896</v>
      </c>
      <c r="I1857" s="87">
        <f>F1857/F1860</f>
        <v>4.9443779551874047E-2</v>
      </c>
      <c r="K1857" s="521"/>
      <c r="L1857" s="521"/>
      <c r="M1857" s="521"/>
    </row>
    <row r="1858" spans="1:13" s="17" customFormat="1" ht="16.5" customHeight="1" x14ac:dyDescent="0.25">
      <c r="A1858" s="81">
        <v>200</v>
      </c>
      <c r="B1858" s="716" t="s">
        <v>187</v>
      </c>
      <c r="C1858" s="717"/>
      <c r="D1858" s="5">
        <v>0</v>
      </c>
      <c r="E1858" s="464">
        <v>0</v>
      </c>
      <c r="F1858" s="5">
        <v>0</v>
      </c>
      <c r="G1858" s="86" t="e">
        <f t="shared" si="147"/>
        <v>#DIV/0!</v>
      </c>
      <c r="H1858" s="87" t="e">
        <f t="shared" si="148"/>
        <v>#DIV/0!</v>
      </c>
      <c r="I1858" s="87">
        <f>F1858/F1860</f>
        <v>0</v>
      </c>
      <c r="K1858" s="521"/>
      <c r="L1858" s="521"/>
      <c r="M1858" s="521"/>
    </row>
    <row r="1859" spans="1:13" s="17" customFormat="1" ht="16.5" customHeight="1" x14ac:dyDescent="0.25">
      <c r="A1859" s="81">
        <v>300</v>
      </c>
      <c r="B1859" s="716" t="s">
        <v>188</v>
      </c>
      <c r="C1859" s="717"/>
      <c r="D1859" s="5">
        <f>D1260</f>
        <v>0</v>
      </c>
      <c r="E1859" s="452">
        <f>E1260</f>
        <v>100000</v>
      </c>
      <c r="F1859" s="5">
        <f>F1260</f>
        <v>28055</v>
      </c>
      <c r="G1859" s="86" t="e">
        <f t="shared" si="147"/>
        <v>#DIV/0!</v>
      </c>
      <c r="H1859" s="87">
        <f t="shared" si="148"/>
        <v>0.28055000000000002</v>
      </c>
      <c r="I1859" s="87">
        <f>F1859/F1860</f>
        <v>8.2289071668105812E-2</v>
      </c>
      <c r="K1859" s="521"/>
      <c r="L1859" s="521"/>
      <c r="M1859" s="521"/>
    </row>
    <row r="1860" spans="1:13" s="17" customFormat="1" ht="16.5" customHeight="1" x14ac:dyDescent="0.25">
      <c r="A1860" s="146"/>
      <c r="B1860" s="718" t="s">
        <v>84</v>
      </c>
      <c r="C1860" s="719"/>
      <c r="D1860" s="383">
        <f>D1855+D1856+D1857+D1858+D1859</f>
        <v>241647.57</v>
      </c>
      <c r="E1860" s="383">
        <f t="shared" ref="E1860:F1860" si="149">E1855+E1856+E1857+E1858+E1859</f>
        <v>536851.54</v>
      </c>
      <c r="F1860" s="383">
        <f t="shared" si="149"/>
        <v>340932.26999999996</v>
      </c>
      <c r="G1860" s="169">
        <f t="shared" si="147"/>
        <v>1.4108657082709333</v>
      </c>
      <c r="H1860" s="137">
        <f t="shared" si="148"/>
        <v>0.63505875385958643</v>
      </c>
      <c r="I1860" s="174">
        <f>SUM(I1855:I1859)</f>
        <v>1</v>
      </c>
      <c r="K1860" s="521"/>
      <c r="L1860" s="521"/>
      <c r="M1860" s="521"/>
    </row>
    <row r="1861" spans="1:13" s="17" customFormat="1" ht="16.5" customHeight="1" x14ac:dyDescent="0.25">
      <c r="A1861" s="170"/>
      <c r="B1861" s="584"/>
      <c r="C1861" s="291"/>
      <c r="D1861" s="291"/>
      <c r="E1861" s="160"/>
      <c r="F1861" s="161"/>
      <c r="G1861" s="162"/>
      <c r="H1861" s="258"/>
      <c r="I1861" s="245"/>
      <c r="K1861" s="521"/>
      <c r="L1861" s="521"/>
      <c r="M1861" s="521"/>
    </row>
    <row r="1862" spans="1:13" s="17" customFormat="1" ht="16.5" customHeight="1" x14ac:dyDescent="0.25">
      <c r="A1862" s="525"/>
      <c r="B1862" s="715" t="s">
        <v>831</v>
      </c>
      <c r="C1862" s="715"/>
      <c r="D1862" s="715"/>
      <c r="E1862" s="715"/>
      <c r="F1862" s="715"/>
      <c r="G1862" s="715"/>
      <c r="H1862" s="715"/>
      <c r="I1862" s="715"/>
      <c r="K1862" s="521"/>
      <c r="L1862" s="521"/>
      <c r="M1862" s="521"/>
    </row>
    <row r="1863" spans="1:13" s="17" customFormat="1" ht="16.5" customHeight="1" x14ac:dyDescent="0.25">
      <c r="A1863" s="715" t="s">
        <v>832</v>
      </c>
      <c r="B1863" s="715"/>
      <c r="C1863" s="715"/>
      <c r="D1863" s="715"/>
      <c r="E1863" s="715"/>
      <c r="F1863" s="715"/>
      <c r="G1863" s="715"/>
      <c r="H1863" s="715"/>
      <c r="I1863" s="715"/>
      <c r="K1863" s="521"/>
      <c r="L1863" s="521"/>
      <c r="M1863" s="521"/>
    </row>
    <row r="1864" spans="1:13" s="17" customFormat="1" ht="16.5" customHeight="1" x14ac:dyDescent="0.25">
      <c r="A1864" s="525"/>
      <c r="B1864" s="525"/>
      <c r="C1864" s="525"/>
      <c r="D1864" s="525"/>
      <c r="E1864" s="525"/>
      <c r="F1864" s="525"/>
      <c r="G1864" s="525"/>
      <c r="H1864" s="525"/>
      <c r="I1864" s="525"/>
      <c r="K1864" s="521"/>
      <c r="L1864" s="521"/>
      <c r="M1864" s="521"/>
    </row>
    <row r="1865" spans="1:13" s="17" customFormat="1" ht="16.5" customHeight="1" x14ac:dyDescent="0.25">
      <c r="A1865" s="525"/>
      <c r="B1865" s="525"/>
      <c r="C1865" s="525"/>
      <c r="D1865" s="525"/>
      <c r="E1865" s="525"/>
      <c r="F1865" s="525"/>
      <c r="G1865" s="525"/>
      <c r="H1865" s="525"/>
      <c r="I1865" s="525"/>
      <c r="K1865" s="521"/>
      <c r="L1865" s="521"/>
      <c r="M1865" s="521"/>
    </row>
    <row r="1866" spans="1:13" s="17" customFormat="1" ht="16.5" customHeight="1" x14ac:dyDescent="0.25">
      <c r="A1866" s="525"/>
      <c r="B1866" s="525"/>
      <c r="C1866" s="525"/>
      <c r="D1866" s="525"/>
      <c r="E1866" s="525"/>
      <c r="F1866" s="525"/>
      <c r="G1866" s="525"/>
      <c r="H1866" s="525"/>
      <c r="I1866" s="216"/>
      <c r="K1866" s="521"/>
      <c r="L1866" s="521"/>
      <c r="M1866" s="521"/>
    </row>
    <row r="1867" spans="1:13" s="17" customFormat="1" ht="16.5" customHeight="1" x14ac:dyDescent="0.25">
      <c r="A1867" s="715" t="s">
        <v>833</v>
      </c>
      <c r="B1867" s="715"/>
      <c r="C1867" s="715"/>
      <c r="D1867" s="715"/>
      <c r="E1867" s="715"/>
      <c r="F1867" s="715"/>
      <c r="G1867" s="715"/>
      <c r="H1867" s="715"/>
      <c r="I1867" s="715"/>
      <c r="K1867" s="521"/>
      <c r="L1867" s="521"/>
      <c r="M1867" s="521"/>
    </row>
    <row r="1868" spans="1:13" s="17" customFormat="1" ht="16.5" customHeight="1" x14ac:dyDescent="0.25">
      <c r="A1868" s="714" t="s">
        <v>834</v>
      </c>
      <c r="B1868" s="714"/>
      <c r="C1868" s="714"/>
      <c r="D1868" s="714"/>
      <c r="E1868" s="714"/>
      <c r="F1868" s="714"/>
      <c r="G1868" s="714"/>
      <c r="H1868" s="714"/>
      <c r="I1868" s="714"/>
      <c r="K1868" s="521"/>
      <c r="L1868" s="521"/>
      <c r="M1868" s="521"/>
    </row>
    <row r="1869" spans="1:13" s="17" customFormat="1" ht="16.5" customHeight="1" x14ac:dyDescent="0.25">
      <c r="A1869" s="735" t="s">
        <v>835</v>
      </c>
      <c r="B1869" s="735"/>
      <c r="C1869" s="735"/>
      <c r="D1869" s="735"/>
      <c r="E1869" s="735"/>
      <c r="F1869" s="735"/>
      <c r="G1869" s="735"/>
      <c r="H1869" s="735"/>
      <c r="I1869" s="735"/>
      <c r="K1869" s="521"/>
      <c r="L1869" s="521"/>
      <c r="M1869" s="521"/>
    </row>
    <row r="1870" spans="1:13" s="17" customFormat="1" ht="16.5" customHeight="1" x14ac:dyDescent="0.25">
      <c r="A1870" s="714" t="s">
        <v>836</v>
      </c>
      <c r="B1870" s="714"/>
      <c r="C1870" s="714"/>
      <c r="D1870" s="714"/>
      <c r="E1870" s="714"/>
      <c r="F1870" s="714"/>
      <c r="G1870" s="714"/>
      <c r="H1870" s="714"/>
      <c r="I1870" s="714"/>
      <c r="K1870" s="521"/>
      <c r="L1870" s="521"/>
      <c r="M1870" s="521"/>
    </row>
    <row r="1871" spans="1:13" s="17" customFormat="1" ht="16.5" customHeight="1" x14ac:dyDescent="0.25">
      <c r="A1871" s="714" t="s">
        <v>837</v>
      </c>
      <c r="B1871" s="714"/>
      <c r="C1871" s="714"/>
      <c r="D1871" s="714"/>
      <c r="E1871" s="714"/>
      <c r="F1871" s="714"/>
      <c r="G1871" s="714"/>
      <c r="H1871" s="714"/>
      <c r="I1871" s="714"/>
      <c r="K1871" s="521"/>
      <c r="L1871" s="521"/>
      <c r="M1871" s="521"/>
    </row>
    <row r="1872" spans="1:13" s="17" customFormat="1" ht="16.5" customHeight="1" x14ac:dyDescent="0.25">
      <c r="A1872" s="714" t="s">
        <v>838</v>
      </c>
      <c r="B1872" s="714"/>
      <c r="C1872" s="714"/>
      <c r="D1872" s="714"/>
      <c r="E1872" s="714"/>
      <c r="F1872" s="714"/>
      <c r="G1872" s="714"/>
      <c r="H1872" s="714"/>
      <c r="I1872" s="714"/>
      <c r="K1872" s="521"/>
      <c r="L1872" s="521"/>
      <c r="M1872" s="521"/>
    </row>
    <row r="1873" spans="1:14" s="17" customFormat="1" ht="16.5" customHeight="1" x14ac:dyDescent="0.25">
      <c r="A1873" s="714" t="s">
        <v>839</v>
      </c>
      <c r="B1873" s="714"/>
      <c r="C1873" s="714"/>
      <c r="D1873" s="714"/>
      <c r="E1873" s="714"/>
      <c r="F1873" s="714"/>
      <c r="G1873" s="714"/>
      <c r="H1873" s="714"/>
      <c r="I1873" s="714"/>
      <c r="K1873" s="521"/>
      <c r="L1873" s="521"/>
      <c r="M1873" s="521"/>
    </row>
    <row r="1874" spans="1:14" s="17" customFormat="1" ht="19.5" customHeight="1" x14ac:dyDescent="0.25">
      <c r="A1874" s="714" t="s">
        <v>840</v>
      </c>
      <c r="B1874" s="714"/>
      <c r="C1874" s="714"/>
      <c r="D1874" s="714"/>
      <c r="E1874" s="714"/>
      <c r="F1874" s="714"/>
      <c r="G1874" s="714"/>
      <c r="H1874" s="714"/>
      <c r="I1874" s="714"/>
      <c r="K1874" s="521"/>
      <c r="L1874" s="521"/>
      <c r="M1874" s="521"/>
    </row>
    <row r="1875" spans="1:14" s="17" customFormat="1" ht="16.5" customHeight="1" x14ac:dyDescent="0.25">
      <c r="A1875" s="714" t="s">
        <v>841</v>
      </c>
      <c r="B1875" s="714"/>
      <c r="C1875" s="714"/>
      <c r="D1875" s="714"/>
      <c r="E1875" s="714"/>
      <c r="F1875" s="714"/>
      <c r="G1875" s="714"/>
      <c r="H1875" s="714"/>
      <c r="I1875" s="714"/>
      <c r="K1875" s="521"/>
      <c r="L1875" s="521"/>
      <c r="M1875" s="521"/>
    </row>
    <row r="1876" spans="1:14" s="17" customFormat="1" ht="16.5" customHeight="1" x14ac:dyDescent="0.25">
      <c r="A1876" s="523"/>
      <c r="B1876" s="523" t="s">
        <v>842</v>
      </c>
      <c r="C1876" s="523"/>
      <c r="D1876" s="523"/>
      <c r="E1876" s="523"/>
      <c r="F1876" s="523"/>
      <c r="G1876" s="523"/>
      <c r="H1876" s="523"/>
      <c r="I1876" s="523"/>
      <c r="K1876" s="521"/>
      <c r="L1876" s="521"/>
      <c r="M1876" s="521"/>
    </row>
    <row r="1877" spans="1:14" s="17" customFormat="1" ht="17.25" customHeight="1" x14ac:dyDescent="0.25">
      <c r="A1877" s="523"/>
      <c r="B1877" s="523"/>
      <c r="C1877" s="523"/>
      <c r="D1877" s="523"/>
      <c r="E1877" s="523"/>
      <c r="F1877" s="523"/>
      <c r="G1877" s="523"/>
      <c r="H1877" s="523"/>
      <c r="I1877" s="523"/>
      <c r="K1877" s="521"/>
      <c r="L1877" s="521"/>
      <c r="M1877" s="521"/>
    </row>
    <row r="1878" spans="1:14" s="17" customFormat="1" ht="16.5" customHeight="1" x14ac:dyDescent="0.25">
      <c r="A1878" s="523"/>
      <c r="B1878" s="523"/>
      <c r="C1878" s="523"/>
      <c r="D1878" s="523"/>
      <c r="E1878" s="523"/>
      <c r="F1878" s="523"/>
      <c r="G1878" s="523"/>
      <c r="H1878" s="523"/>
      <c r="I1878" s="523"/>
      <c r="K1878" s="521"/>
      <c r="L1878" s="521"/>
      <c r="M1878" s="521"/>
      <c r="N1878" s="521"/>
    </row>
    <row r="1879" spans="1:14" s="17" customFormat="1" ht="16.5" customHeight="1" x14ac:dyDescent="0.25">
      <c r="A1879" s="523"/>
      <c r="B1879" s="523"/>
      <c r="C1879" s="523"/>
      <c r="D1879" s="523"/>
      <c r="E1879" s="523"/>
      <c r="F1879" s="523"/>
      <c r="G1879" s="523"/>
      <c r="H1879" s="523"/>
      <c r="I1879" s="523"/>
      <c r="K1879" s="521"/>
      <c r="L1879" s="521"/>
      <c r="M1879" s="521"/>
      <c r="N1879" s="521"/>
    </row>
    <row r="1880" spans="1:14" s="17" customFormat="1" ht="15" customHeight="1" x14ac:dyDescent="0.25">
      <c r="A1880" s="523"/>
      <c r="B1880" s="523"/>
      <c r="C1880" s="523"/>
      <c r="D1880" s="523"/>
      <c r="E1880" s="523"/>
      <c r="F1880" s="523"/>
      <c r="G1880" s="523"/>
      <c r="H1880" s="523"/>
      <c r="I1880" s="523"/>
      <c r="K1880" s="521"/>
      <c r="L1880" s="521"/>
      <c r="M1880" s="521"/>
      <c r="N1880" s="521"/>
    </row>
    <row r="1881" spans="1:14" s="17" customFormat="1" ht="15" customHeight="1" x14ac:dyDescent="0.25">
      <c r="A1881" s="677"/>
      <c r="B1881" s="677"/>
      <c r="C1881" s="677"/>
      <c r="D1881" s="677"/>
      <c r="E1881" s="677"/>
      <c r="F1881" s="677"/>
      <c r="G1881" s="677"/>
      <c r="H1881" s="677"/>
      <c r="I1881" s="677"/>
      <c r="K1881" s="675"/>
      <c r="L1881" s="675"/>
      <c r="M1881" s="675"/>
      <c r="N1881" s="675"/>
    </row>
    <row r="1882" spans="1:14" s="17" customFormat="1" ht="15" customHeight="1" x14ac:dyDescent="0.25">
      <c r="A1882" s="677"/>
      <c r="B1882" s="677"/>
      <c r="C1882" s="677"/>
      <c r="D1882" s="677"/>
      <c r="E1882" s="677"/>
      <c r="F1882" s="677"/>
      <c r="G1882" s="677"/>
      <c r="H1882" s="677"/>
      <c r="I1882" s="677"/>
      <c r="K1882" s="675"/>
      <c r="L1882" s="675"/>
      <c r="M1882" s="675"/>
      <c r="N1882" s="675"/>
    </row>
    <row r="1883" spans="1:14" s="17" customFormat="1" ht="15" customHeight="1" x14ac:dyDescent="0.25">
      <c r="A1883" s="677"/>
      <c r="B1883" s="677"/>
      <c r="C1883" s="677"/>
      <c r="D1883" s="677"/>
      <c r="E1883" s="677"/>
      <c r="F1883" s="677"/>
      <c r="G1883" s="677"/>
      <c r="H1883" s="677"/>
      <c r="I1883" s="677"/>
      <c r="K1883" s="675"/>
      <c r="L1883" s="675"/>
      <c r="M1883" s="675"/>
      <c r="N1883" s="675"/>
    </row>
    <row r="1884" spans="1:14" s="17" customFormat="1" ht="15" customHeight="1" x14ac:dyDescent="0.25">
      <c r="A1884" s="677"/>
      <c r="B1884" s="677"/>
      <c r="C1884" s="677"/>
      <c r="D1884" s="677"/>
      <c r="E1884" s="677"/>
      <c r="F1884" s="677"/>
      <c r="G1884" s="677"/>
      <c r="H1884" s="677"/>
      <c r="I1884" s="677"/>
      <c r="K1884" s="675"/>
      <c r="L1884" s="675"/>
      <c r="M1884" s="675"/>
      <c r="N1884" s="675"/>
    </row>
    <row r="1885" spans="1:14" s="17" customFormat="1" ht="15" customHeight="1" x14ac:dyDescent="0.25">
      <c r="A1885" s="677"/>
      <c r="B1885" s="677"/>
      <c r="C1885" s="677"/>
      <c r="D1885" s="677"/>
      <c r="E1885" s="677"/>
      <c r="F1885" s="677"/>
      <c r="G1885" s="677"/>
      <c r="H1885" s="677"/>
      <c r="I1885" s="677"/>
      <c r="K1885" s="675"/>
      <c r="L1885" s="675"/>
      <c r="M1885" s="675"/>
      <c r="N1885" s="675"/>
    </row>
    <row r="1886" spans="1:14" s="17" customFormat="1" ht="15" customHeight="1" x14ac:dyDescent="0.25">
      <c r="A1886" s="677"/>
      <c r="B1886" s="677"/>
      <c r="C1886" s="677"/>
      <c r="D1886" s="677"/>
      <c r="E1886" s="677"/>
      <c r="F1886" s="677"/>
      <c r="G1886" s="677"/>
      <c r="H1886" s="677"/>
      <c r="I1886" s="677"/>
      <c r="K1886" s="675"/>
      <c r="L1886" s="675"/>
      <c r="M1886" s="675"/>
      <c r="N1886" s="675"/>
    </row>
    <row r="1887" spans="1:14" s="17" customFormat="1" ht="15" customHeight="1" x14ac:dyDescent="0.25">
      <c r="A1887" s="677"/>
      <c r="B1887" s="677"/>
      <c r="C1887" s="677"/>
      <c r="D1887" s="677"/>
      <c r="E1887" s="677"/>
      <c r="F1887" s="677"/>
      <c r="G1887" s="677"/>
      <c r="H1887" s="677"/>
      <c r="I1887" s="677"/>
      <c r="K1887" s="675"/>
      <c r="L1887" s="675"/>
      <c r="M1887" s="675"/>
      <c r="N1887" s="675"/>
    </row>
    <row r="1888" spans="1:14" s="17" customFormat="1" ht="15" customHeight="1" x14ac:dyDescent="0.25">
      <c r="A1888" s="677"/>
      <c r="B1888" s="677"/>
      <c r="C1888" s="677"/>
      <c r="D1888" s="677"/>
      <c r="E1888" s="677"/>
      <c r="F1888" s="677"/>
      <c r="G1888" s="677"/>
      <c r="H1888" s="677"/>
      <c r="I1888" s="677"/>
      <c r="K1888" s="675"/>
      <c r="L1888" s="675"/>
      <c r="M1888" s="675"/>
      <c r="N1888" s="675"/>
    </row>
    <row r="1889" spans="1:14" s="17" customFormat="1" ht="15" customHeight="1" x14ac:dyDescent="0.25">
      <c r="A1889" s="677"/>
      <c r="B1889" s="677"/>
      <c r="C1889" s="677"/>
      <c r="D1889" s="677"/>
      <c r="E1889" s="677"/>
      <c r="F1889" s="677"/>
      <c r="G1889" s="677"/>
      <c r="H1889" s="677"/>
      <c r="I1889" s="677"/>
      <c r="K1889" s="675"/>
      <c r="L1889" s="675"/>
      <c r="M1889" s="675"/>
      <c r="N1889" s="675"/>
    </row>
    <row r="1890" spans="1:14" s="17" customFormat="1" ht="15" customHeight="1" x14ac:dyDescent="0.25">
      <c r="A1890" s="677"/>
      <c r="B1890" s="677"/>
      <c r="C1890" s="677"/>
      <c r="D1890" s="677"/>
      <c r="E1890" s="677"/>
      <c r="F1890" s="677"/>
      <c r="G1890" s="677"/>
      <c r="H1890" s="677"/>
      <c r="I1890" s="677"/>
      <c r="K1890" s="675"/>
      <c r="L1890" s="675"/>
      <c r="M1890" s="675"/>
      <c r="N1890" s="675"/>
    </row>
    <row r="1891" spans="1:14" s="17" customFormat="1" ht="15" customHeight="1" x14ac:dyDescent="0.25">
      <c r="A1891" s="677"/>
      <c r="B1891" s="677"/>
      <c r="C1891" s="677"/>
      <c r="D1891" s="677"/>
      <c r="E1891" s="677"/>
      <c r="F1891" s="677"/>
      <c r="G1891" s="677"/>
      <c r="H1891" s="677"/>
      <c r="I1891" s="677"/>
      <c r="K1891" s="675"/>
      <c r="L1891" s="675"/>
      <c r="M1891" s="675"/>
      <c r="N1891" s="675"/>
    </row>
    <row r="1892" spans="1:14" s="17" customFormat="1" ht="15" customHeight="1" x14ac:dyDescent="0.25">
      <c r="A1892" s="677"/>
      <c r="B1892" s="677"/>
      <c r="C1892" s="677"/>
      <c r="D1892" s="677"/>
      <c r="E1892" s="677"/>
      <c r="F1892" s="677"/>
      <c r="G1892" s="677"/>
      <c r="H1892" s="677"/>
      <c r="I1892" s="677"/>
      <c r="K1892" s="675"/>
      <c r="L1892" s="675"/>
      <c r="M1892" s="675"/>
      <c r="N1892" s="675"/>
    </row>
    <row r="1893" spans="1:14" s="17" customFormat="1" ht="15" customHeight="1" x14ac:dyDescent="0.25">
      <c r="A1893" s="677"/>
      <c r="B1893" s="677"/>
      <c r="C1893" s="677"/>
      <c r="D1893" s="677"/>
      <c r="E1893" s="677"/>
      <c r="F1893" s="677"/>
      <c r="G1893" s="677"/>
      <c r="H1893" s="677"/>
      <c r="I1893" s="677"/>
      <c r="K1893" s="675"/>
      <c r="L1893" s="675"/>
      <c r="M1893" s="675"/>
      <c r="N1893" s="675"/>
    </row>
    <row r="1894" spans="1:14" s="17" customFormat="1" ht="15" customHeight="1" x14ac:dyDescent="0.25">
      <c r="A1894" s="677"/>
      <c r="B1894" s="677"/>
      <c r="C1894" s="677"/>
      <c r="D1894" s="677"/>
      <c r="E1894" s="677"/>
      <c r="F1894" s="677"/>
      <c r="G1894" s="677"/>
      <c r="H1894" s="677"/>
      <c r="I1894" s="677"/>
      <c r="K1894" s="675"/>
      <c r="L1894" s="675"/>
      <c r="M1894" s="675"/>
      <c r="N1894" s="675"/>
    </row>
    <row r="1895" spans="1:14" s="17" customFormat="1" ht="15" customHeight="1" x14ac:dyDescent="0.25">
      <c r="A1895" s="677"/>
      <c r="B1895" s="677"/>
      <c r="C1895" s="677"/>
      <c r="D1895" s="677"/>
      <c r="E1895" s="677"/>
      <c r="F1895" s="677"/>
      <c r="G1895" s="677"/>
      <c r="H1895" s="677"/>
      <c r="I1895" s="677"/>
      <c r="K1895" s="675"/>
      <c r="L1895" s="675"/>
      <c r="M1895" s="675"/>
      <c r="N1895" s="675"/>
    </row>
    <row r="1896" spans="1:14" s="17" customFormat="1" ht="15" customHeight="1" x14ac:dyDescent="0.25">
      <c r="A1896" s="677"/>
      <c r="B1896" s="677"/>
      <c r="C1896" s="677"/>
      <c r="D1896" s="677"/>
      <c r="E1896" s="677"/>
      <c r="F1896" s="677"/>
      <c r="G1896" s="677"/>
      <c r="H1896" s="677"/>
      <c r="I1896" s="677"/>
      <c r="K1896" s="675"/>
      <c r="L1896" s="675"/>
      <c r="M1896" s="675"/>
      <c r="N1896" s="675"/>
    </row>
    <row r="1897" spans="1:14" s="17" customFormat="1" ht="15" customHeight="1" x14ac:dyDescent="0.25">
      <c r="A1897" s="677"/>
      <c r="B1897" s="677"/>
      <c r="C1897" s="677"/>
      <c r="D1897" s="677"/>
      <c r="E1897" s="677"/>
      <c r="F1897" s="677"/>
      <c r="G1897" s="677"/>
      <c r="H1897" s="677"/>
      <c r="I1897" s="677"/>
      <c r="K1897" s="675"/>
      <c r="L1897" s="675"/>
      <c r="M1897" s="675"/>
      <c r="N1897" s="675"/>
    </row>
    <row r="1898" spans="1:14" s="17" customFormat="1" ht="15" customHeight="1" x14ac:dyDescent="0.25">
      <c r="A1898" s="677"/>
      <c r="B1898" s="677"/>
      <c r="C1898" s="677"/>
      <c r="D1898" s="677"/>
      <c r="E1898" s="677"/>
      <c r="F1898" s="677"/>
      <c r="G1898" s="677"/>
      <c r="H1898" s="677"/>
      <c r="I1898" s="677"/>
      <c r="K1898" s="675"/>
      <c r="L1898" s="675"/>
      <c r="M1898" s="675"/>
      <c r="N1898" s="675"/>
    </row>
    <row r="1899" spans="1:14" s="17" customFormat="1" ht="15" customHeight="1" x14ac:dyDescent="0.25">
      <c r="A1899" s="677"/>
      <c r="B1899" s="677"/>
      <c r="C1899" s="677"/>
      <c r="D1899" s="677"/>
      <c r="E1899" s="677"/>
      <c r="F1899" s="677"/>
      <c r="G1899" s="677"/>
      <c r="H1899" s="677"/>
      <c r="I1899" s="677"/>
      <c r="K1899" s="675"/>
      <c r="L1899" s="675"/>
      <c r="M1899" s="675"/>
      <c r="N1899" s="675"/>
    </row>
    <row r="1900" spans="1:14" s="17" customFormat="1" ht="15" customHeight="1" x14ac:dyDescent="0.25">
      <c r="A1900" s="677"/>
      <c r="B1900" s="677"/>
      <c r="C1900" s="677"/>
      <c r="D1900" s="677"/>
      <c r="E1900" s="677"/>
      <c r="F1900" s="677"/>
      <c r="G1900" s="677"/>
      <c r="H1900" s="677"/>
      <c r="I1900" s="677"/>
      <c r="K1900" s="675"/>
      <c r="L1900" s="675"/>
      <c r="M1900" s="675"/>
      <c r="N1900" s="675"/>
    </row>
    <row r="1901" spans="1:14" s="17" customFormat="1" ht="15" customHeight="1" x14ac:dyDescent="0.25">
      <c r="A1901" s="677"/>
      <c r="B1901" s="677"/>
      <c r="C1901" s="677"/>
      <c r="D1901" s="677"/>
      <c r="E1901" s="677"/>
      <c r="F1901" s="677"/>
      <c r="G1901" s="677"/>
      <c r="H1901" s="677"/>
      <c r="I1901" s="677"/>
      <c r="K1901" s="675"/>
      <c r="L1901" s="675"/>
      <c r="M1901" s="675"/>
      <c r="N1901" s="675"/>
    </row>
    <row r="1902" spans="1:14" s="17" customFormat="1" ht="15" customHeight="1" x14ac:dyDescent="0.25">
      <c r="A1902" s="677"/>
      <c r="B1902" s="677"/>
      <c r="C1902" s="677"/>
      <c r="D1902" s="677"/>
      <c r="E1902" s="677"/>
      <c r="F1902" s="677"/>
      <c r="G1902" s="677"/>
      <c r="H1902" s="677"/>
      <c r="I1902" s="677"/>
      <c r="K1902" s="675"/>
      <c r="L1902" s="675"/>
      <c r="M1902" s="675"/>
      <c r="N1902" s="675"/>
    </row>
    <row r="1903" spans="1:14" s="17" customFormat="1" ht="15" customHeight="1" x14ac:dyDescent="0.25">
      <c r="A1903" s="677"/>
      <c r="B1903" s="677"/>
      <c r="C1903" s="677"/>
      <c r="D1903" s="677"/>
      <c r="E1903" s="677"/>
      <c r="F1903" s="677"/>
      <c r="G1903" s="677"/>
      <c r="H1903" s="677"/>
      <c r="I1903" s="409">
        <v>31</v>
      </c>
      <c r="K1903" s="675"/>
      <c r="L1903" s="675"/>
      <c r="M1903" s="675"/>
      <c r="N1903" s="675"/>
    </row>
    <row r="1904" spans="1:14" s="17" customFormat="1" ht="15" customHeight="1" x14ac:dyDescent="0.25">
      <c r="A1904" s="686"/>
      <c r="B1904" s="686"/>
      <c r="C1904" s="686"/>
      <c r="D1904" s="686"/>
      <c r="E1904" s="686"/>
      <c r="F1904" s="686"/>
      <c r="G1904" s="686"/>
      <c r="H1904" s="686"/>
      <c r="I1904" s="409"/>
      <c r="K1904" s="696"/>
      <c r="L1904" s="696"/>
      <c r="M1904" s="696"/>
      <c r="N1904" s="696"/>
    </row>
    <row r="1905" spans="1:14" s="17" customFormat="1" ht="16.5" customHeight="1" x14ac:dyDescent="0.25">
      <c r="A1905" s="523"/>
      <c r="B1905" s="523"/>
      <c r="C1905" s="523"/>
      <c r="D1905" s="523"/>
      <c r="E1905" s="523"/>
      <c r="F1905" s="523"/>
      <c r="G1905" s="523"/>
      <c r="H1905" s="523"/>
      <c r="I1905" s="409"/>
      <c r="K1905" s="521"/>
      <c r="L1905" s="521"/>
      <c r="M1905" s="521"/>
      <c r="N1905" s="521"/>
    </row>
    <row r="1906" spans="1:14" s="17" customFormat="1" ht="16.5" customHeight="1" x14ac:dyDescent="0.25">
      <c r="A1906" s="722" t="s">
        <v>454</v>
      </c>
      <c r="B1906" s="722"/>
      <c r="C1906" s="722"/>
      <c r="D1906" s="722"/>
      <c r="E1906" s="722"/>
      <c r="F1906" s="722"/>
      <c r="G1906" s="722"/>
      <c r="H1906" s="722"/>
      <c r="I1906" s="722"/>
      <c r="K1906" s="521"/>
      <c r="L1906" s="521"/>
      <c r="M1906" s="521"/>
      <c r="N1906" s="521"/>
    </row>
    <row r="1907" spans="1:14" s="17" customFormat="1" ht="16.5" customHeight="1" x14ac:dyDescent="0.25">
      <c r="A1907" s="529"/>
      <c r="B1907" s="529"/>
      <c r="C1907" s="529"/>
      <c r="D1907" s="529"/>
      <c r="E1907" s="529"/>
      <c r="F1907" s="529"/>
      <c r="G1907" s="529"/>
      <c r="H1907" s="529"/>
      <c r="I1907" s="529"/>
      <c r="K1907" s="521"/>
      <c r="L1907" s="521"/>
      <c r="M1907" s="521"/>
      <c r="N1907" s="521"/>
    </row>
    <row r="1908" spans="1:14" s="17" customFormat="1" ht="16.5" customHeight="1" x14ac:dyDescent="0.25">
      <c r="A1908" s="742" t="s">
        <v>455</v>
      </c>
      <c r="B1908" s="742"/>
      <c r="C1908" s="742"/>
      <c r="D1908" s="742"/>
      <c r="E1908" s="742"/>
      <c r="F1908" s="742"/>
      <c r="G1908" s="742"/>
      <c r="H1908" s="742"/>
      <c r="I1908" s="742"/>
      <c r="K1908" s="521"/>
      <c r="L1908" s="521"/>
      <c r="M1908" s="521"/>
      <c r="N1908" s="521"/>
    </row>
    <row r="1909" spans="1:14" s="17" customFormat="1" ht="16.5" customHeight="1" x14ac:dyDescent="0.25">
      <c r="A1909" s="527"/>
      <c r="B1909" s="527"/>
      <c r="C1909" s="527"/>
      <c r="D1909" s="527"/>
      <c r="E1909" s="527"/>
      <c r="F1909" s="527"/>
      <c r="G1909" s="527"/>
      <c r="H1909" s="527"/>
      <c r="I1909" s="527"/>
      <c r="K1909" s="521"/>
      <c r="L1909" s="521"/>
      <c r="M1909" s="521"/>
      <c r="N1909" s="521"/>
    </row>
    <row r="1910" spans="1:14" s="17" customFormat="1" ht="16.5" customHeight="1" x14ac:dyDescent="0.25">
      <c r="A1910" s="766" t="s">
        <v>430</v>
      </c>
      <c r="B1910" s="766"/>
      <c r="C1910" s="766"/>
      <c r="D1910" s="766"/>
      <c r="E1910" s="766"/>
      <c r="F1910" s="766"/>
      <c r="G1910" s="766"/>
      <c r="H1910" s="766"/>
      <c r="I1910" s="766"/>
      <c r="K1910" s="521"/>
      <c r="L1910" s="521"/>
      <c r="M1910" s="521"/>
      <c r="N1910" s="521"/>
    </row>
    <row r="1911" spans="1:14" s="17" customFormat="1" ht="16.5" customHeight="1" x14ac:dyDescent="0.25">
      <c r="A1911" s="523"/>
      <c r="B1911" s="523"/>
      <c r="C1911" s="523"/>
      <c r="D1911" s="523"/>
      <c r="E1911" s="701" t="s">
        <v>85</v>
      </c>
      <c r="F1911" s="523"/>
      <c r="G1911" s="523"/>
      <c r="H1911" s="523"/>
      <c r="I1911" s="523"/>
      <c r="K1911" s="521"/>
      <c r="L1911" s="521"/>
      <c r="M1911" s="521"/>
    </row>
    <row r="1912" spans="1:14" s="17" customFormat="1" ht="18" customHeight="1" x14ac:dyDescent="0.25">
      <c r="A1912" s="192"/>
      <c r="B1912" s="214"/>
      <c r="C1912" s="15"/>
      <c r="D1912" s="537"/>
      <c r="E1912" s="746"/>
      <c r="F1912" s="537"/>
      <c r="G1912" s="192"/>
      <c r="H1912" s="537"/>
      <c r="I1912" s="537"/>
      <c r="K1912" s="521"/>
      <c r="L1912" s="521"/>
      <c r="M1912" s="521"/>
    </row>
    <row r="1913" spans="1:14" s="17" customFormat="1" ht="16.5" customHeight="1" x14ac:dyDescent="0.25">
      <c r="A1913" s="557" t="s">
        <v>48</v>
      </c>
      <c r="B1913" s="702" t="s">
        <v>49</v>
      </c>
      <c r="C1913" s="703"/>
      <c r="D1913" s="380" t="s">
        <v>86</v>
      </c>
      <c r="E1913" s="530" t="s">
        <v>152</v>
      </c>
      <c r="F1913" s="40" t="s">
        <v>87</v>
      </c>
      <c r="G1913" s="706" t="s">
        <v>52</v>
      </c>
      <c r="H1913" s="707"/>
      <c r="I1913" s="708" t="s">
        <v>53</v>
      </c>
      <c r="K1913" s="521"/>
      <c r="L1913" s="521"/>
      <c r="M1913" s="521"/>
    </row>
    <row r="1914" spans="1:14" s="17" customFormat="1" ht="16.5" customHeight="1" x14ac:dyDescent="0.25">
      <c r="A1914" s="574" t="s">
        <v>88</v>
      </c>
      <c r="B1914" s="704"/>
      <c r="C1914" s="705"/>
      <c r="D1914" s="381" t="s">
        <v>541</v>
      </c>
      <c r="E1914" s="41" t="s">
        <v>573</v>
      </c>
      <c r="F1914" s="41" t="s">
        <v>607</v>
      </c>
      <c r="G1914" s="24" t="s">
        <v>55</v>
      </c>
      <c r="H1914" s="24" t="s">
        <v>56</v>
      </c>
      <c r="I1914" s="709"/>
      <c r="K1914" s="521"/>
      <c r="L1914" s="521"/>
      <c r="M1914" s="521"/>
    </row>
    <row r="1915" spans="1:14" s="17" customFormat="1" ht="16.5" customHeight="1" x14ac:dyDescent="0.25">
      <c r="A1915" s="142">
        <v>1</v>
      </c>
      <c r="B1915" s="710">
        <v>2</v>
      </c>
      <c r="C1915" s="711"/>
      <c r="D1915" s="513">
        <v>3</v>
      </c>
      <c r="E1915" s="129">
        <v>4</v>
      </c>
      <c r="F1915" s="129">
        <v>5</v>
      </c>
      <c r="G1915" s="129">
        <v>6</v>
      </c>
      <c r="H1915" s="129">
        <v>7</v>
      </c>
      <c r="I1915" s="142">
        <v>8</v>
      </c>
      <c r="K1915" s="521"/>
      <c r="L1915" s="521"/>
      <c r="M1915" s="521"/>
    </row>
    <row r="1916" spans="1:14" s="17" customFormat="1" ht="16.5" customHeight="1" x14ac:dyDescent="0.25">
      <c r="A1916" s="81">
        <v>111</v>
      </c>
      <c r="B1916" s="716" t="s">
        <v>184</v>
      </c>
      <c r="C1916" s="717"/>
      <c r="D1916" s="5">
        <f>D670</f>
        <v>49804.84</v>
      </c>
      <c r="E1916" s="5">
        <f>E670</f>
        <v>52784.97</v>
      </c>
      <c r="F1916" s="5">
        <f>F670</f>
        <v>35083.269999999997</v>
      </c>
      <c r="G1916" s="86">
        <f t="shared" ref="G1916:G1921" si="150">F1916/D1916</f>
        <v>0.70441487212889353</v>
      </c>
      <c r="H1916" s="87">
        <f t="shared" ref="H1916:H1921" si="151">F1916/E1916</f>
        <v>0.66464506847308991</v>
      </c>
      <c r="I1916" s="87">
        <f>F1916/F1921</f>
        <v>0.1037551854273632</v>
      </c>
      <c r="K1916" s="521"/>
      <c r="L1916" s="521"/>
      <c r="M1916" s="521"/>
    </row>
    <row r="1917" spans="1:14" s="17" customFormat="1" ht="16.5" customHeight="1" x14ac:dyDescent="0.25">
      <c r="A1917" s="81">
        <v>130</v>
      </c>
      <c r="B1917" s="716" t="s">
        <v>185</v>
      </c>
      <c r="C1917" s="717"/>
      <c r="D1917" s="428">
        <f>D880</f>
        <v>3822.02</v>
      </c>
      <c r="E1917" s="266">
        <f>E880</f>
        <v>13500</v>
      </c>
      <c r="F1917" s="428">
        <f>F880</f>
        <v>7653.9</v>
      </c>
      <c r="G1917" s="86">
        <f t="shared" si="150"/>
        <v>2.0025797876515559</v>
      </c>
      <c r="H1917" s="87">
        <f t="shared" si="151"/>
        <v>0.56695555555555555</v>
      </c>
      <c r="I1917" s="87">
        <f>F1917/F1921</f>
        <v>2.2635627002343148E-2</v>
      </c>
      <c r="K1917" s="521"/>
      <c r="L1917" s="521"/>
      <c r="M1917" s="521"/>
    </row>
    <row r="1918" spans="1:14" s="17" customFormat="1" ht="16.5" customHeight="1" x14ac:dyDescent="0.25">
      <c r="A1918" s="81">
        <v>132</v>
      </c>
      <c r="B1918" s="716" t="s">
        <v>186</v>
      </c>
      <c r="C1918" s="717"/>
      <c r="D1918" s="5">
        <v>0</v>
      </c>
      <c r="E1918" s="145">
        <v>0</v>
      </c>
      <c r="F1918" s="5">
        <v>0</v>
      </c>
      <c r="G1918" s="86" t="e">
        <f t="shared" si="150"/>
        <v>#DIV/0!</v>
      </c>
      <c r="H1918" s="87" t="e">
        <f t="shared" si="151"/>
        <v>#DIV/0!</v>
      </c>
      <c r="I1918" s="87">
        <f>F1918/F1921</f>
        <v>0</v>
      </c>
      <c r="K1918" s="521"/>
      <c r="L1918" s="521"/>
      <c r="M1918" s="521"/>
    </row>
    <row r="1919" spans="1:14" s="17" customFormat="1" ht="16.5" customHeight="1" x14ac:dyDescent="0.25">
      <c r="A1919" s="81">
        <v>200</v>
      </c>
      <c r="B1919" s="716" t="s">
        <v>187</v>
      </c>
      <c r="C1919" s="717"/>
      <c r="D1919" s="5">
        <v>0</v>
      </c>
      <c r="E1919" s="156">
        <v>0</v>
      </c>
      <c r="F1919" s="5">
        <v>0</v>
      </c>
      <c r="G1919" s="86" t="e">
        <f t="shared" si="150"/>
        <v>#DIV/0!</v>
      </c>
      <c r="H1919" s="87" t="e">
        <f t="shared" si="151"/>
        <v>#DIV/0!</v>
      </c>
      <c r="I1919" s="87">
        <f>F1919/F1921</f>
        <v>0</v>
      </c>
      <c r="K1919" s="521"/>
      <c r="L1919" s="521"/>
      <c r="M1919" s="521"/>
    </row>
    <row r="1920" spans="1:14" s="17" customFormat="1" ht="16.5" customHeight="1" x14ac:dyDescent="0.25">
      <c r="A1920" s="81">
        <v>300</v>
      </c>
      <c r="B1920" s="716" t="s">
        <v>188</v>
      </c>
      <c r="C1920" s="717"/>
      <c r="D1920" s="5">
        <f>D1261</f>
        <v>100000</v>
      </c>
      <c r="E1920" s="5">
        <f>E1261</f>
        <v>410000</v>
      </c>
      <c r="F1920" s="5">
        <f>F1261</f>
        <v>295397.93</v>
      </c>
      <c r="G1920" s="86">
        <f t="shared" si="150"/>
        <v>2.9539792999999999</v>
      </c>
      <c r="H1920" s="87">
        <f t="shared" si="151"/>
        <v>0.72048275609756096</v>
      </c>
      <c r="I1920" s="87">
        <f>F1920/F1921</f>
        <v>0.87360918757029371</v>
      </c>
      <c r="K1920" s="521"/>
      <c r="L1920" s="521"/>
      <c r="M1920" s="521"/>
    </row>
    <row r="1921" spans="1:13" s="17" customFormat="1" ht="16.5" customHeight="1" x14ac:dyDescent="0.25">
      <c r="A1921" s="146"/>
      <c r="B1921" s="718" t="s">
        <v>84</v>
      </c>
      <c r="C1921" s="719"/>
      <c r="D1921" s="465">
        <f>D1916+D1917+D1918+D1919+D1920</f>
        <v>153626.85999999999</v>
      </c>
      <c r="E1921" s="465">
        <f>E1916+E1917+E1918+E1919+E1920</f>
        <v>476284.97</v>
      </c>
      <c r="F1921" s="383">
        <f>F1916+F1917+F1918+F1919+F1920</f>
        <v>338135.1</v>
      </c>
      <c r="G1921" s="169">
        <f t="shared" si="150"/>
        <v>2.2010154995031468</v>
      </c>
      <c r="H1921" s="137">
        <f t="shared" si="151"/>
        <v>0.70994283107443013</v>
      </c>
      <c r="I1921" s="174">
        <f>SUM(I1916:I1920)</f>
        <v>1</v>
      </c>
      <c r="K1921" s="521"/>
      <c r="L1921" s="521"/>
      <c r="M1921" s="521"/>
    </row>
    <row r="1922" spans="1:13" s="17" customFormat="1" ht="16.5" customHeight="1" x14ac:dyDescent="0.25">
      <c r="A1922" s="275"/>
      <c r="B1922" s="275"/>
      <c r="C1922" s="275"/>
      <c r="D1922" s="275"/>
      <c r="E1922" s="275"/>
      <c r="F1922" s="275"/>
      <c r="G1922" s="537"/>
      <c r="H1922" s="541"/>
      <c r="I1922" s="279"/>
      <c r="K1922" s="521"/>
      <c r="L1922" s="521"/>
      <c r="M1922" s="521"/>
    </row>
    <row r="1923" spans="1:13" s="17" customFormat="1" ht="19.5" customHeight="1" x14ac:dyDescent="0.25">
      <c r="A1923" s="525"/>
      <c r="B1923" s="715" t="s">
        <v>843</v>
      </c>
      <c r="C1923" s="715"/>
      <c r="D1923" s="715"/>
      <c r="E1923" s="715"/>
      <c r="F1923" s="715"/>
      <c r="G1923" s="715"/>
      <c r="H1923" s="715"/>
      <c r="I1923" s="715"/>
      <c r="K1923" s="521"/>
      <c r="L1923" s="521"/>
      <c r="M1923" s="521"/>
    </row>
    <row r="1924" spans="1:13" s="17" customFormat="1" ht="16.5" customHeight="1" x14ac:dyDescent="0.25">
      <c r="A1924" s="715" t="s">
        <v>844</v>
      </c>
      <c r="B1924" s="715"/>
      <c r="C1924" s="715"/>
      <c r="D1924" s="715"/>
      <c r="E1924" s="715"/>
      <c r="F1924" s="715"/>
      <c r="G1924" s="715"/>
      <c r="H1924" s="715"/>
      <c r="I1924" s="715"/>
      <c r="K1924" s="521"/>
      <c r="L1924" s="521"/>
      <c r="M1924" s="521"/>
    </row>
    <row r="1925" spans="1:13" s="17" customFormat="1" ht="16.5" customHeight="1" x14ac:dyDescent="0.25">
      <c r="A1925" s="724" t="s">
        <v>845</v>
      </c>
      <c r="B1925" s="724"/>
      <c r="C1925" s="724"/>
      <c r="D1925" s="724"/>
      <c r="E1925" s="724"/>
      <c r="F1925" s="724"/>
      <c r="G1925" s="724"/>
      <c r="H1925" s="724"/>
      <c r="I1925" s="724"/>
      <c r="K1925" s="521"/>
      <c r="L1925" s="521"/>
      <c r="M1925" s="521"/>
    </row>
    <row r="1926" spans="1:13" s="17" customFormat="1" ht="16.5" customHeight="1" x14ac:dyDescent="0.25">
      <c r="A1926" s="714" t="s">
        <v>846</v>
      </c>
      <c r="B1926" s="714"/>
      <c r="C1926" s="714"/>
      <c r="D1926" s="714"/>
      <c r="E1926" s="714"/>
      <c r="F1926" s="714"/>
      <c r="G1926" s="714"/>
      <c r="H1926" s="714"/>
      <c r="I1926" s="714"/>
      <c r="K1926" s="521"/>
      <c r="L1926" s="521"/>
      <c r="M1926" s="521"/>
    </row>
    <row r="1927" spans="1:13" s="17" customFormat="1" ht="16.5" customHeight="1" x14ac:dyDescent="0.25">
      <c r="A1927" s="714" t="s">
        <v>847</v>
      </c>
      <c r="B1927" s="714"/>
      <c r="C1927" s="714"/>
      <c r="D1927" s="714"/>
      <c r="E1927" s="714"/>
      <c r="F1927" s="714"/>
      <c r="G1927" s="714"/>
      <c r="H1927" s="714"/>
      <c r="I1927" s="714"/>
      <c r="K1927" s="521"/>
      <c r="L1927" s="521"/>
      <c r="M1927" s="521"/>
    </row>
    <row r="1928" spans="1:13" s="17" customFormat="1" ht="12" customHeight="1" x14ac:dyDescent="0.25">
      <c r="A1928" s="724" t="s">
        <v>848</v>
      </c>
      <c r="B1928" s="724"/>
      <c r="C1928" s="724"/>
      <c r="D1928" s="724"/>
      <c r="E1928" s="724"/>
      <c r="F1928" s="724"/>
      <c r="G1928" s="724"/>
      <c r="H1928" s="724"/>
      <c r="I1928" s="724"/>
      <c r="K1928" s="521"/>
      <c r="L1928" s="521"/>
      <c r="M1928" s="521"/>
    </row>
    <row r="1929" spans="1:13" s="17" customFormat="1" ht="12" customHeight="1" x14ac:dyDescent="0.25">
      <c r="A1929" s="714" t="s">
        <v>849</v>
      </c>
      <c r="B1929" s="714"/>
      <c r="C1929" s="714"/>
      <c r="D1929" s="714"/>
      <c r="E1929" s="714"/>
      <c r="F1929" s="714"/>
      <c r="G1929" s="714"/>
      <c r="H1929" s="714"/>
      <c r="I1929" s="714"/>
      <c r="K1929" s="521"/>
      <c r="L1929" s="521"/>
      <c r="M1929" s="521"/>
    </row>
    <row r="1930" spans="1:13" s="17" customFormat="1" ht="16.5" customHeight="1" x14ac:dyDescent="0.25">
      <c r="A1930" s="714" t="s">
        <v>850</v>
      </c>
      <c r="B1930" s="714"/>
      <c r="C1930" s="714"/>
      <c r="D1930" s="714"/>
      <c r="E1930" s="714"/>
      <c r="F1930" s="714"/>
      <c r="G1930" s="714"/>
      <c r="H1930" s="714"/>
      <c r="I1930" s="714"/>
      <c r="K1930" s="521"/>
      <c r="L1930" s="521"/>
      <c r="M1930" s="521"/>
    </row>
    <row r="1931" spans="1:13" s="17" customFormat="1" ht="16.5" customHeight="1" x14ac:dyDescent="0.25">
      <c r="A1931" s="686"/>
      <c r="B1931" s="686" t="s">
        <v>851</v>
      </c>
      <c r="C1931" s="686"/>
      <c r="D1931" s="686"/>
      <c r="E1931" s="686"/>
      <c r="F1931" s="686"/>
      <c r="G1931" s="686"/>
      <c r="H1931" s="686"/>
      <c r="I1931" s="686"/>
      <c r="K1931" s="696"/>
      <c r="L1931" s="696"/>
      <c r="M1931" s="696"/>
    </row>
    <row r="1932" spans="1:13" s="17" customFormat="1" ht="16.5" customHeight="1" x14ac:dyDescent="0.25">
      <c r="A1932" s="216" t="s">
        <v>852</v>
      </c>
      <c r="I1932" s="216"/>
      <c r="K1932" s="521"/>
      <c r="L1932" s="521"/>
      <c r="M1932" s="521"/>
    </row>
    <row r="1933" spans="1:13" s="17" customFormat="1" ht="16.5" customHeight="1" x14ac:dyDescent="0.25">
      <c r="A1933" s="216"/>
      <c r="I1933" s="216"/>
      <c r="K1933" s="696"/>
      <c r="L1933" s="696"/>
      <c r="M1933" s="696"/>
    </row>
    <row r="1934" spans="1:13" s="17" customFormat="1" ht="16.5" customHeight="1" x14ac:dyDescent="0.25">
      <c r="A1934" s="216"/>
      <c r="I1934" s="216"/>
      <c r="K1934" s="696"/>
      <c r="L1934" s="696"/>
      <c r="M1934" s="696"/>
    </row>
    <row r="1935" spans="1:13" s="17" customFormat="1" ht="16.5" customHeight="1" x14ac:dyDescent="0.3">
      <c r="B1935" s="335" t="s">
        <v>344</v>
      </c>
      <c r="C1935" s="575"/>
      <c r="D1935" s="575"/>
      <c r="K1935" s="521"/>
      <c r="L1935" s="521"/>
      <c r="M1935" s="521"/>
    </row>
    <row r="1936" spans="1:13" s="17" customFormat="1" ht="16.5" customHeight="1" x14ac:dyDescent="0.25">
      <c r="K1936" s="521"/>
      <c r="L1936" s="521"/>
      <c r="M1936" s="521"/>
    </row>
    <row r="1937" spans="1:15" s="17" customFormat="1" ht="16.5" customHeight="1" x14ac:dyDescent="0.25">
      <c r="A1937" s="524"/>
      <c r="B1937" s="720" t="s">
        <v>853</v>
      </c>
      <c r="C1937" s="720"/>
      <c r="D1937" s="720"/>
      <c r="E1937" s="720"/>
      <c r="F1937" s="720"/>
      <c r="G1937" s="720"/>
      <c r="H1937" s="720"/>
      <c r="I1937" s="720"/>
      <c r="K1937" s="521"/>
      <c r="L1937" s="521"/>
      <c r="M1937" s="521"/>
    </row>
    <row r="1938" spans="1:15" s="17" customFormat="1" ht="16.5" customHeight="1" x14ac:dyDescent="0.25">
      <c r="A1938" s="720" t="s">
        <v>854</v>
      </c>
      <c r="B1938" s="720"/>
      <c r="C1938" s="720"/>
      <c r="D1938" s="720"/>
      <c r="E1938" s="720"/>
      <c r="F1938" s="720"/>
      <c r="G1938" s="720"/>
      <c r="H1938" s="720"/>
      <c r="I1938" s="720"/>
      <c r="K1938" s="521"/>
      <c r="L1938" s="521"/>
      <c r="M1938" s="521"/>
    </row>
    <row r="1939" spans="1:15" s="17" customFormat="1" ht="16.5" customHeight="1" x14ac:dyDescent="0.25">
      <c r="A1939" s="591">
        <v>57128.51</v>
      </c>
      <c r="B1939" s="720" t="s">
        <v>329</v>
      </c>
      <c r="C1939" s="720"/>
      <c r="D1939" s="720"/>
      <c r="E1939" s="720"/>
      <c r="F1939" s="720"/>
      <c r="G1939" s="720"/>
      <c r="H1939" s="720"/>
      <c r="I1939" s="720"/>
      <c r="K1939" s="521"/>
      <c r="L1939" s="521"/>
      <c r="M1939" s="521"/>
    </row>
    <row r="1940" spans="1:15" s="17" customFormat="1" ht="16.5" customHeight="1" x14ac:dyDescent="0.25">
      <c r="A1940" s="523"/>
      <c r="B1940" s="523"/>
      <c r="C1940" s="523"/>
      <c r="D1940" s="523"/>
      <c r="E1940" s="701" t="s">
        <v>85</v>
      </c>
      <c r="F1940" s="523"/>
      <c r="G1940" s="523"/>
      <c r="H1940" s="523"/>
      <c r="I1940" s="523"/>
      <c r="K1940" s="521"/>
      <c r="L1940" s="521"/>
      <c r="M1940" s="521"/>
    </row>
    <row r="1941" spans="1:15" s="17" customFormat="1" ht="16.5" customHeight="1" x14ac:dyDescent="0.25">
      <c r="A1941" s="192"/>
      <c r="B1941" s="214"/>
      <c r="C1941" s="15"/>
      <c r="D1941" s="537"/>
      <c r="E1941" s="701"/>
      <c r="F1941" s="537"/>
      <c r="G1941" s="192"/>
      <c r="H1941" s="537"/>
      <c r="I1941" s="537"/>
      <c r="K1941" s="521"/>
      <c r="L1941" s="521"/>
      <c r="M1941" s="521"/>
    </row>
    <row r="1942" spans="1:15" s="17" customFormat="1" ht="16.5" customHeight="1" x14ac:dyDescent="0.25">
      <c r="A1942" s="557" t="s">
        <v>48</v>
      </c>
      <c r="B1942" s="702" t="s">
        <v>49</v>
      </c>
      <c r="C1942" s="703"/>
      <c r="D1942" s="380" t="s">
        <v>86</v>
      </c>
      <c r="E1942" s="530" t="s">
        <v>321</v>
      </c>
      <c r="F1942" s="40" t="s">
        <v>87</v>
      </c>
      <c r="G1942" s="706" t="s">
        <v>52</v>
      </c>
      <c r="H1942" s="707"/>
      <c r="I1942" s="708" t="s">
        <v>53</v>
      </c>
      <c r="K1942" s="521"/>
      <c r="L1942" s="521"/>
      <c r="M1942" s="521"/>
    </row>
    <row r="1943" spans="1:15" s="17" customFormat="1" ht="16.5" customHeight="1" x14ac:dyDescent="0.25">
      <c r="A1943" s="574" t="s">
        <v>88</v>
      </c>
      <c r="B1943" s="704"/>
      <c r="C1943" s="705"/>
      <c r="D1943" s="381" t="s">
        <v>541</v>
      </c>
      <c r="E1943" s="41" t="s">
        <v>573</v>
      </c>
      <c r="F1943" s="41" t="s">
        <v>607</v>
      </c>
      <c r="G1943" s="24" t="s">
        <v>55</v>
      </c>
      <c r="H1943" s="24" t="s">
        <v>56</v>
      </c>
      <c r="I1943" s="709"/>
      <c r="K1943" s="521"/>
      <c r="L1943" s="521"/>
      <c r="M1943" s="521"/>
    </row>
    <row r="1944" spans="1:15" s="17" customFormat="1" ht="16.5" customHeight="1" x14ac:dyDescent="0.25">
      <c r="A1944" s="142">
        <v>1</v>
      </c>
      <c r="B1944" s="710">
        <v>2</v>
      </c>
      <c r="C1944" s="711"/>
      <c r="D1944" s="513">
        <v>3</v>
      </c>
      <c r="E1944" s="129">
        <v>4</v>
      </c>
      <c r="F1944" s="129">
        <v>5</v>
      </c>
      <c r="G1944" s="129">
        <v>6</v>
      </c>
      <c r="H1944" s="129">
        <v>7</v>
      </c>
      <c r="I1944" s="142">
        <v>8</v>
      </c>
      <c r="K1944" s="521"/>
      <c r="L1944" s="521"/>
      <c r="M1944" s="521"/>
      <c r="O1944" s="521"/>
    </row>
    <row r="1945" spans="1:15" s="17" customFormat="1" ht="16.5" customHeight="1" x14ac:dyDescent="0.25">
      <c r="A1945" s="79">
        <v>50012</v>
      </c>
      <c r="B1945" s="712" t="s">
        <v>431</v>
      </c>
      <c r="C1945" s="713"/>
      <c r="D1945" s="82">
        <f t="shared" ref="D1945:F1948" si="152">D290</f>
        <v>14566.54</v>
      </c>
      <c r="E1945" s="75">
        <f t="shared" si="152"/>
        <v>10816</v>
      </c>
      <c r="F1945" s="82">
        <f t="shared" si="152"/>
        <v>15639.7</v>
      </c>
      <c r="G1945" s="86">
        <f>F1945/D1945</f>
        <v>1.0736729518471786</v>
      </c>
      <c r="H1945" s="87">
        <f>F1945/E1945</f>
        <v>1.4459781804733729</v>
      </c>
      <c r="I1945" s="76">
        <f>F1945/F1954</f>
        <v>0.93540553957307848</v>
      </c>
      <c r="K1945" s="521"/>
      <c r="L1945" s="521"/>
      <c r="M1945" s="521"/>
      <c r="O1945" s="521"/>
    </row>
    <row r="1946" spans="1:15" s="17" customFormat="1" ht="16.5" customHeight="1" x14ac:dyDescent="0.25">
      <c r="A1946" s="79">
        <v>50103</v>
      </c>
      <c r="B1946" s="712" t="s">
        <v>474</v>
      </c>
      <c r="C1946" s="713"/>
      <c r="D1946" s="82">
        <f t="shared" si="152"/>
        <v>0</v>
      </c>
      <c r="E1946" s="75">
        <f t="shared" si="152"/>
        <v>0</v>
      </c>
      <c r="F1946" s="82">
        <f t="shared" si="152"/>
        <v>0</v>
      </c>
      <c r="G1946" s="86"/>
      <c r="H1946" s="87"/>
      <c r="I1946" s="76"/>
      <c r="K1946" s="521"/>
      <c r="L1946" s="521"/>
      <c r="M1946" s="521"/>
      <c r="O1946" s="521"/>
    </row>
    <row r="1947" spans="1:15" s="17" customFormat="1" ht="16.5" customHeight="1" x14ac:dyDescent="0.25">
      <c r="A1947" s="79">
        <v>500121</v>
      </c>
      <c r="B1947" s="712" t="s">
        <v>116</v>
      </c>
      <c r="C1947" s="713"/>
      <c r="D1947" s="82">
        <f t="shared" si="152"/>
        <v>0</v>
      </c>
      <c r="E1947" s="75">
        <f t="shared" si="152"/>
        <v>0</v>
      </c>
      <c r="F1947" s="82">
        <f t="shared" si="152"/>
        <v>0</v>
      </c>
      <c r="G1947" s="86" t="e">
        <f t="shared" ref="G1947:G1955" si="153">F1947/D1947</f>
        <v>#DIV/0!</v>
      </c>
      <c r="H1947" s="87" t="e">
        <f t="shared" ref="H1947:H1954" si="154">F1947/E1947</f>
        <v>#DIV/0!</v>
      </c>
      <c r="I1947" s="76">
        <f>F1947/F1954</f>
        <v>0</v>
      </c>
      <c r="K1947" s="521"/>
      <c r="L1947" s="521"/>
      <c r="M1947" s="521"/>
      <c r="O1947" s="521"/>
    </row>
    <row r="1948" spans="1:15" s="17" customFormat="1" ht="16.5" customHeight="1" x14ac:dyDescent="0.25">
      <c r="A1948" s="79">
        <v>500122</v>
      </c>
      <c r="B1948" s="762" t="s">
        <v>117</v>
      </c>
      <c r="C1948" s="763"/>
      <c r="D1948" s="82">
        <f t="shared" si="152"/>
        <v>0</v>
      </c>
      <c r="E1948" s="75">
        <f t="shared" si="152"/>
        <v>0</v>
      </c>
      <c r="F1948" s="82">
        <f t="shared" si="152"/>
        <v>0</v>
      </c>
      <c r="G1948" s="86" t="e">
        <f t="shared" si="153"/>
        <v>#DIV/0!</v>
      </c>
      <c r="H1948" s="87" t="e">
        <f t="shared" si="154"/>
        <v>#DIV/0!</v>
      </c>
      <c r="I1948" s="76">
        <f>F1948/F1954</f>
        <v>0</v>
      </c>
      <c r="K1948" s="521"/>
      <c r="L1948" s="521"/>
      <c r="M1948" s="521"/>
      <c r="O1948" s="521"/>
    </row>
    <row r="1949" spans="1:15" s="17" customFormat="1" ht="12" customHeight="1" x14ac:dyDescent="0.25">
      <c r="A1949" s="79">
        <v>500123</v>
      </c>
      <c r="B1949" s="762" t="s">
        <v>345</v>
      </c>
      <c r="C1949" s="763"/>
      <c r="D1949" s="82">
        <f t="shared" ref="D1949:F1953" si="155">D298</f>
        <v>0</v>
      </c>
      <c r="E1949" s="75">
        <f t="shared" si="155"/>
        <v>0</v>
      </c>
      <c r="F1949" s="82">
        <f t="shared" si="155"/>
        <v>0</v>
      </c>
      <c r="G1949" s="86" t="e">
        <f t="shared" si="153"/>
        <v>#DIV/0!</v>
      </c>
      <c r="H1949" s="87" t="e">
        <f t="shared" si="154"/>
        <v>#DIV/0!</v>
      </c>
      <c r="I1949" s="76">
        <f>F1949/F1954</f>
        <v>0</v>
      </c>
      <c r="K1949" s="521"/>
      <c r="L1949" s="521"/>
      <c r="M1949" s="521"/>
      <c r="O1949" s="521"/>
    </row>
    <row r="1950" spans="1:15" s="17" customFormat="1" ht="16.5" customHeight="1" x14ac:dyDescent="0.25">
      <c r="A1950" s="79">
        <v>50020</v>
      </c>
      <c r="B1950" s="712" t="s">
        <v>119</v>
      </c>
      <c r="C1950" s="713"/>
      <c r="D1950" s="82">
        <f t="shared" si="155"/>
        <v>0</v>
      </c>
      <c r="E1950" s="75">
        <f t="shared" si="155"/>
        <v>0</v>
      </c>
      <c r="F1950" s="82">
        <f t="shared" si="155"/>
        <v>0</v>
      </c>
      <c r="G1950" s="86" t="e">
        <f t="shared" si="153"/>
        <v>#DIV/0!</v>
      </c>
      <c r="H1950" s="87" t="e">
        <f t="shared" si="154"/>
        <v>#DIV/0!</v>
      </c>
      <c r="I1950" s="76">
        <f>F1950/F1954</f>
        <v>0</v>
      </c>
      <c r="K1950" s="521"/>
      <c r="L1950" s="521"/>
      <c r="M1950" s="521"/>
      <c r="O1950" s="521"/>
    </row>
    <row r="1951" spans="1:15" s="17" customFormat="1" ht="16.5" customHeight="1" x14ac:dyDescent="0.25">
      <c r="A1951" s="79">
        <v>50203</v>
      </c>
      <c r="B1951" s="764" t="s">
        <v>120</v>
      </c>
      <c r="C1951" s="765"/>
      <c r="D1951" s="82">
        <f t="shared" si="155"/>
        <v>0</v>
      </c>
      <c r="E1951" s="75">
        <f t="shared" si="155"/>
        <v>0</v>
      </c>
      <c r="F1951" s="82">
        <f t="shared" si="155"/>
        <v>0</v>
      </c>
      <c r="G1951" s="86" t="e">
        <f t="shared" si="153"/>
        <v>#DIV/0!</v>
      </c>
      <c r="H1951" s="87" t="e">
        <f t="shared" si="154"/>
        <v>#DIV/0!</v>
      </c>
      <c r="I1951" s="76">
        <f>F1951/F1954</f>
        <v>0</v>
      </c>
      <c r="K1951" s="521"/>
      <c r="L1951" s="521"/>
      <c r="M1951" s="521"/>
      <c r="O1951" s="521"/>
    </row>
    <row r="1952" spans="1:15" s="17" customFormat="1" ht="16.5" customHeight="1" x14ac:dyDescent="0.25">
      <c r="A1952" s="79">
        <v>50403</v>
      </c>
      <c r="B1952" s="762" t="s">
        <v>121</v>
      </c>
      <c r="C1952" s="763"/>
      <c r="D1952" s="82">
        <f t="shared" si="155"/>
        <v>0</v>
      </c>
      <c r="E1952" s="75">
        <f t="shared" si="155"/>
        <v>0</v>
      </c>
      <c r="F1952" s="82">
        <f t="shared" si="155"/>
        <v>0</v>
      </c>
      <c r="G1952" s="86" t="e">
        <f t="shared" si="153"/>
        <v>#DIV/0!</v>
      </c>
      <c r="H1952" s="87" t="e">
        <f t="shared" si="154"/>
        <v>#DIV/0!</v>
      </c>
      <c r="I1952" s="76">
        <f>F1952/F1954</f>
        <v>0</v>
      </c>
      <c r="K1952" s="521"/>
      <c r="L1952" s="521"/>
      <c r="M1952" s="521"/>
      <c r="O1952" s="521"/>
    </row>
    <row r="1953" spans="1:15" s="17" customFormat="1" ht="16.5" customHeight="1" x14ac:dyDescent="0.25">
      <c r="A1953" s="79">
        <v>50405</v>
      </c>
      <c r="B1953" s="762" t="s">
        <v>122</v>
      </c>
      <c r="C1953" s="763"/>
      <c r="D1953" s="82">
        <f t="shared" si="155"/>
        <v>1080</v>
      </c>
      <c r="E1953" s="75">
        <f t="shared" si="155"/>
        <v>1081.5999999999999</v>
      </c>
      <c r="F1953" s="82">
        <f t="shared" si="155"/>
        <v>1080</v>
      </c>
      <c r="G1953" s="86">
        <f t="shared" si="153"/>
        <v>1</v>
      </c>
      <c r="H1953" s="87">
        <f t="shared" si="154"/>
        <v>0.99852071005917165</v>
      </c>
      <c r="I1953" s="76">
        <f>F1953/F1954</f>
        <v>6.4594460426921532E-2</v>
      </c>
      <c r="K1953" s="521"/>
      <c r="L1953" s="521"/>
      <c r="M1953" s="521"/>
      <c r="O1953" s="521"/>
    </row>
    <row r="1954" spans="1:15" s="17" customFormat="1" ht="12" customHeight="1" x14ac:dyDescent="0.25">
      <c r="A1954" s="79"/>
      <c r="B1954" s="750" t="s">
        <v>346</v>
      </c>
      <c r="C1954" s="751"/>
      <c r="D1954" s="99">
        <f>D1945+D1947+D1948+D1949+D1950+D1951+D1952+D1953</f>
        <v>15646.54</v>
      </c>
      <c r="E1954" s="99">
        <f t="shared" ref="E1954:F1954" si="156">E1945+E1947+E1948+E1949+E1950+E1951+E1952+E1953</f>
        <v>11897.6</v>
      </c>
      <c r="F1954" s="99">
        <f t="shared" si="156"/>
        <v>16719.7</v>
      </c>
      <c r="G1954" s="27">
        <f t="shared" si="153"/>
        <v>1.0685876877571654</v>
      </c>
      <c r="H1954" s="28">
        <f t="shared" si="154"/>
        <v>1.4053002286175362</v>
      </c>
      <c r="I1954" s="29">
        <f>F1954/F1957</f>
        <v>0.29266823167626815</v>
      </c>
      <c r="K1954" s="521"/>
      <c r="L1954" s="521"/>
      <c r="M1954" s="521"/>
    </row>
    <row r="1955" spans="1:15" s="17" customFormat="1" ht="16.5" customHeight="1" x14ac:dyDescent="0.25">
      <c r="A1955" s="79">
        <v>56000</v>
      </c>
      <c r="B1955" s="750" t="s">
        <v>481</v>
      </c>
      <c r="C1955" s="751"/>
      <c r="D1955" s="99">
        <f>D304</f>
        <v>33600</v>
      </c>
      <c r="E1955" s="99"/>
      <c r="F1955" s="99">
        <f>F304</f>
        <v>40408.81</v>
      </c>
      <c r="G1955" s="27">
        <f t="shared" si="153"/>
        <v>1.2026431547619048</v>
      </c>
      <c r="H1955" s="28"/>
      <c r="I1955" s="29"/>
      <c r="K1955" s="521"/>
      <c r="L1955" s="521"/>
      <c r="M1955" s="521"/>
    </row>
    <row r="1956" spans="1:15" s="17" customFormat="1" ht="12" customHeight="1" x14ac:dyDescent="0.25">
      <c r="A1956" s="79"/>
      <c r="B1956" s="750" t="s">
        <v>123</v>
      </c>
      <c r="C1956" s="751"/>
      <c r="D1956" s="99">
        <f>D305</f>
        <v>33600</v>
      </c>
      <c r="E1956" s="99">
        <v>0</v>
      </c>
      <c r="F1956" s="99">
        <f>F305</f>
        <v>40408.81</v>
      </c>
      <c r="G1956" s="27">
        <f>F1956/D1956</f>
        <v>1.2026431547619048</v>
      </c>
      <c r="H1956" s="28" t="e">
        <f>F1956/E1956</f>
        <v>#DIV/0!</v>
      </c>
      <c r="I1956" s="29">
        <f>F1956/F1957</f>
        <v>0.7073317683237319</v>
      </c>
      <c r="K1956" s="521"/>
      <c r="L1956" s="521"/>
      <c r="M1956" s="521"/>
    </row>
    <row r="1957" spans="1:15" s="17" customFormat="1" ht="12" customHeight="1" x14ac:dyDescent="0.25">
      <c r="A1957" s="146"/>
      <c r="B1957" s="718" t="s">
        <v>333</v>
      </c>
      <c r="C1957" s="719"/>
      <c r="D1957" s="473">
        <f>D1954+D1955</f>
        <v>49246.54</v>
      </c>
      <c r="E1957" s="473">
        <f t="shared" ref="E1957:F1957" si="157">E1954+E1956</f>
        <v>11897.6</v>
      </c>
      <c r="F1957" s="473">
        <f t="shared" si="157"/>
        <v>57128.509999999995</v>
      </c>
      <c r="G1957" s="148">
        <f>F1957/D1957</f>
        <v>1.1600512442092377</v>
      </c>
      <c r="H1957" s="137">
        <f>F1957/E1957</f>
        <v>4.8016835328133398</v>
      </c>
      <c r="I1957" s="137">
        <f>I1954+I1956</f>
        <v>1</v>
      </c>
      <c r="K1957" s="521"/>
      <c r="L1957" s="521"/>
      <c r="M1957" s="521"/>
    </row>
    <row r="1958" spans="1:15" s="17" customFormat="1" ht="16.5" customHeight="1" x14ac:dyDescent="0.25">
      <c r="A1958" s="170"/>
      <c r="B1958" s="583"/>
      <c r="C1958" s="583"/>
      <c r="D1958" s="272"/>
      <c r="E1958" s="257"/>
      <c r="F1958" s="161"/>
      <c r="G1958" s="258"/>
      <c r="H1958" s="162"/>
      <c r="I1958" s="245"/>
      <c r="K1958" s="521"/>
      <c r="L1958" s="521"/>
      <c r="M1958" s="521"/>
    </row>
    <row r="1959" spans="1:15" s="17" customFormat="1" ht="16.5" customHeight="1" x14ac:dyDescent="0.25">
      <c r="A1959" s="742" t="s">
        <v>855</v>
      </c>
      <c r="B1959" s="742"/>
      <c r="C1959" s="742"/>
      <c r="D1959" s="742"/>
      <c r="E1959" s="742"/>
      <c r="F1959" s="742"/>
      <c r="G1959" s="742"/>
      <c r="H1959" s="742"/>
      <c r="I1959" s="742"/>
      <c r="K1959" s="521"/>
      <c r="L1959" s="521"/>
      <c r="M1959" s="521"/>
    </row>
    <row r="1960" spans="1:15" s="17" customFormat="1" ht="16.5" customHeight="1" x14ac:dyDescent="0.25">
      <c r="A1960" s="742" t="s">
        <v>856</v>
      </c>
      <c r="B1960" s="742"/>
      <c r="C1960" s="742"/>
      <c r="D1960" s="742"/>
      <c r="E1960" s="742"/>
      <c r="F1960" s="742"/>
      <c r="G1960" s="742"/>
      <c r="H1960" s="742"/>
      <c r="I1960" s="742"/>
      <c r="K1960" s="521"/>
      <c r="L1960" s="521"/>
      <c r="M1960" s="521"/>
    </row>
    <row r="1961" spans="1:15" s="17" customFormat="1" ht="16.5" customHeight="1" x14ac:dyDescent="0.25">
      <c r="A1961" s="527"/>
      <c r="B1961" s="742"/>
      <c r="C1961" s="742"/>
      <c r="D1961" s="742"/>
      <c r="E1961" s="742"/>
      <c r="F1961" s="742"/>
      <c r="G1961" s="742"/>
      <c r="H1961" s="742"/>
      <c r="I1961" s="742"/>
      <c r="K1961" s="521"/>
      <c r="L1961" s="521"/>
      <c r="M1961" s="521"/>
    </row>
    <row r="1962" spans="1:15" s="17" customFormat="1" ht="16.5" customHeight="1" x14ac:dyDescent="0.25">
      <c r="A1962" s="742" t="s">
        <v>190</v>
      </c>
      <c r="B1962" s="742"/>
      <c r="C1962" s="742"/>
      <c r="D1962" s="742"/>
      <c r="E1962" s="742"/>
      <c r="F1962" s="742"/>
      <c r="G1962" s="742"/>
      <c r="H1962" s="742"/>
      <c r="I1962" s="742"/>
      <c r="K1962" s="521"/>
      <c r="L1962" s="521"/>
      <c r="M1962" s="521"/>
    </row>
    <row r="1963" spans="1:15" s="17" customFormat="1" ht="16.5" customHeight="1" x14ac:dyDescent="0.25">
      <c r="A1963" s="527"/>
      <c r="B1963" s="527"/>
      <c r="C1963" s="527"/>
      <c r="D1963" s="527"/>
      <c r="E1963" s="527"/>
      <c r="F1963" s="527"/>
      <c r="G1963" s="527"/>
      <c r="H1963" s="527"/>
      <c r="I1963" s="419">
        <v>32</v>
      </c>
      <c r="K1963" s="521"/>
      <c r="L1963" s="521"/>
      <c r="M1963" s="521"/>
    </row>
    <row r="1964" spans="1:15" s="17" customFormat="1" ht="16.5" customHeight="1" x14ac:dyDescent="0.25">
      <c r="A1964" s="690"/>
      <c r="B1964" s="690"/>
      <c r="C1964" s="690"/>
      <c r="D1964" s="690"/>
      <c r="E1964" s="690"/>
      <c r="F1964" s="690"/>
      <c r="G1964" s="690"/>
      <c r="H1964" s="690"/>
      <c r="I1964" s="419"/>
      <c r="K1964" s="696"/>
      <c r="L1964" s="696"/>
      <c r="M1964" s="696"/>
    </row>
    <row r="1965" spans="1:15" s="17" customFormat="1" ht="16.5" customHeight="1" x14ac:dyDescent="0.25">
      <c r="A1965" s="690"/>
      <c r="B1965" s="690"/>
      <c r="C1965" s="690"/>
      <c r="D1965" s="690"/>
      <c r="E1965" s="690"/>
      <c r="F1965" s="690"/>
      <c r="G1965" s="690"/>
      <c r="H1965" s="690"/>
      <c r="I1965" s="419"/>
      <c r="K1965" s="696"/>
      <c r="L1965" s="696"/>
      <c r="M1965" s="696"/>
    </row>
    <row r="1966" spans="1:15" s="17" customFormat="1" ht="16.5" customHeight="1" x14ac:dyDescent="0.25">
      <c r="A1966" s="743" t="s">
        <v>504</v>
      </c>
      <c r="B1966" s="743"/>
      <c r="C1966" s="743"/>
      <c r="D1966" s="743"/>
      <c r="E1966" s="743"/>
      <c r="F1966" s="743"/>
      <c r="G1966" s="743"/>
      <c r="H1966" s="743"/>
      <c r="I1966" s="245"/>
      <c r="K1966" s="521"/>
      <c r="L1966" s="521"/>
      <c r="M1966" s="521"/>
    </row>
    <row r="1967" spans="1:15" s="17" customFormat="1" ht="16.5" customHeight="1" x14ac:dyDescent="0.25">
      <c r="A1967" s="523"/>
      <c r="B1967" s="523"/>
      <c r="C1967" s="523"/>
      <c r="D1967" s="523"/>
      <c r="E1967" s="701" t="s">
        <v>85</v>
      </c>
      <c r="F1967" s="523"/>
      <c r="G1967" s="523"/>
      <c r="H1967" s="523"/>
      <c r="I1967" s="523"/>
      <c r="K1967" s="521"/>
      <c r="L1967" s="521"/>
      <c r="M1967" s="521"/>
    </row>
    <row r="1968" spans="1:15" s="17" customFormat="1" ht="16.5" customHeight="1" x14ac:dyDescent="0.25">
      <c r="A1968" s="192"/>
      <c r="B1968" s="214"/>
      <c r="C1968" s="15"/>
      <c r="D1968" s="537"/>
      <c r="E1968" s="701"/>
      <c r="F1968" s="537"/>
      <c r="G1968" s="192"/>
      <c r="H1968" s="537"/>
      <c r="I1968" s="537"/>
      <c r="K1968" s="521"/>
      <c r="L1968" s="521"/>
      <c r="M1968" s="521"/>
    </row>
    <row r="1969" spans="1:16" s="17" customFormat="1" ht="16.5" customHeight="1" x14ac:dyDescent="0.25">
      <c r="A1969" s="557" t="s">
        <v>48</v>
      </c>
      <c r="B1969" s="702" t="s">
        <v>49</v>
      </c>
      <c r="C1969" s="703"/>
      <c r="D1969" s="380" t="s">
        <v>86</v>
      </c>
      <c r="E1969" s="530" t="s">
        <v>152</v>
      </c>
      <c r="F1969" s="40" t="s">
        <v>87</v>
      </c>
      <c r="G1969" s="706" t="s">
        <v>52</v>
      </c>
      <c r="H1969" s="707"/>
      <c r="I1969" s="708" t="s">
        <v>53</v>
      </c>
      <c r="K1969" s="521"/>
      <c r="L1969" s="521"/>
      <c r="M1969" s="521"/>
    </row>
    <row r="1970" spans="1:16" s="17" customFormat="1" ht="16.5" customHeight="1" x14ac:dyDescent="0.25">
      <c r="A1970" s="574" t="s">
        <v>88</v>
      </c>
      <c r="B1970" s="704"/>
      <c r="C1970" s="705"/>
      <c r="D1970" s="381" t="s">
        <v>541</v>
      </c>
      <c r="E1970" s="41" t="s">
        <v>573</v>
      </c>
      <c r="F1970" s="41" t="s">
        <v>607</v>
      </c>
      <c r="G1970" s="24" t="s">
        <v>55</v>
      </c>
      <c r="H1970" s="24" t="s">
        <v>56</v>
      </c>
      <c r="I1970" s="709"/>
      <c r="K1970" s="521"/>
      <c r="L1970" s="521"/>
      <c r="M1970" s="521"/>
    </row>
    <row r="1971" spans="1:16" s="17" customFormat="1" ht="16.5" customHeight="1" x14ac:dyDescent="0.25">
      <c r="A1971" s="142">
        <v>1</v>
      </c>
      <c r="B1971" s="710">
        <v>2</v>
      </c>
      <c r="C1971" s="711"/>
      <c r="D1971" s="513">
        <v>3</v>
      </c>
      <c r="E1971" s="129">
        <v>4</v>
      </c>
      <c r="F1971" s="129">
        <v>5</v>
      </c>
      <c r="G1971" s="129">
        <v>6</v>
      </c>
      <c r="H1971" s="129">
        <v>7</v>
      </c>
      <c r="I1971" s="142">
        <v>8</v>
      </c>
      <c r="K1971" s="521"/>
      <c r="L1971" s="521"/>
      <c r="M1971" s="521"/>
    </row>
    <row r="1972" spans="1:16" s="17" customFormat="1" ht="16.5" customHeight="1" x14ac:dyDescent="0.25">
      <c r="A1972" s="81">
        <v>111</v>
      </c>
      <c r="B1972" s="716" t="s">
        <v>184</v>
      </c>
      <c r="C1972" s="717"/>
      <c r="D1972" s="292">
        <f>D671</f>
        <v>105092.83</v>
      </c>
      <c r="E1972" s="293">
        <f>E671</f>
        <v>160415.44</v>
      </c>
      <c r="F1972" s="292">
        <f>F671</f>
        <v>110166.96</v>
      </c>
      <c r="G1972" s="86">
        <f t="shared" ref="G1972:G1977" si="158">F1972/D1972</f>
        <v>1.0482823614132382</v>
      </c>
      <c r="H1972" s="87">
        <f t="shared" ref="H1972:H1977" si="159">F1972/E1972</f>
        <v>0.68676032681143417</v>
      </c>
      <c r="I1972" s="87">
        <f>F1972/F1977</f>
        <v>0.16818753080609775</v>
      </c>
      <c r="K1972" s="521"/>
      <c r="L1972" s="521"/>
      <c r="M1972" s="521"/>
    </row>
    <row r="1973" spans="1:16" s="17" customFormat="1" ht="16.5" customHeight="1" x14ac:dyDescent="0.25">
      <c r="A1973" s="81">
        <v>130</v>
      </c>
      <c r="B1973" s="716" t="s">
        <v>185</v>
      </c>
      <c r="C1973" s="717"/>
      <c r="D1973" s="436">
        <f>D881</f>
        <v>8567.1200000000008</v>
      </c>
      <c r="E1973" s="294">
        <f>E881</f>
        <v>69000</v>
      </c>
      <c r="F1973" s="436">
        <f>F881</f>
        <v>7876.8</v>
      </c>
      <c r="G1973" s="86">
        <f t="shared" si="158"/>
        <v>0.91942216287387124</v>
      </c>
      <c r="H1973" s="87">
        <f t="shared" si="159"/>
        <v>0.11415652173913043</v>
      </c>
      <c r="I1973" s="87">
        <f>F1973/F1977</f>
        <v>1.2025198323104048E-2</v>
      </c>
      <c r="K1973" s="521"/>
      <c r="L1973" s="521"/>
      <c r="M1973" s="521"/>
    </row>
    <row r="1974" spans="1:16" s="17" customFormat="1" ht="16.5" customHeight="1" x14ac:dyDescent="0.25">
      <c r="A1974" s="81">
        <v>132</v>
      </c>
      <c r="B1974" s="716" t="s">
        <v>186</v>
      </c>
      <c r="C1974" s="717"/>
      <c r="D1974" s="292">
        <v>0</v>
      </c>
      <c r="E1974" s="295">
        <f>0+0+0+0</f>
        <v>0</v>
      </c>
      <c r="F1974" s="292">
        <v>0</v>
      </c>
      <c r="G1974" s="86" t="e">
        <f t="shared" si="158"/>
        <v>#DIV/0!</v>
      </c>
      <c r="H1974" s="87" t="e">
        <f t="shared" si="159"/>
        <v>#DIV/0!</v>
      </c>
      <c r="I1974" s="87">
        <f>F1975/F1977</f>
        <v>0.36673767978219562</v>
      </c>
      <c r="K1974" s="521"/>
      <c r="L1974" s="521"/>
      <c r="M1974" s="521"/>
    </row>
    <row r="1975" spans="1:16" s="17" customFormat="1" ht="16.5" customHeight="1" x14ac:dyDescent="0.25">
      <c r="A1975" s="81">
        <v>200</v>
      </c>
      <c r="B1975" s="716" t="s">
        <v>187</v>
      </c>
      <c r="C1975" s="717"/>
      <c r="D1975" s="292">
        <f>D1154</f>
        <v>189669</v>
      </c>
      <c r="E1975" s="377">
        <f>E1154</f>
        <v>245418.31</v>
      </c>
      <c r="F1975" s="292">
        <f>F1154</f>
        <v>240222.18</v>
      </c>
      <c r="G1975" s="86">
        <f t="shared" si="158"/>
        <v>1.2665336981794599</v>
      </c>
      <c r="H1975" s="87">
        <f t="shared" si="159"/>
        <v>0.97882745586504938</v>
      </c>
      <c r="I1975" s="87">
        <f>F1975/F1977</f>
        <v>0.36673767978219562</v>
      </c>
      <c r="K1975" s="521"/>
      <c r="L1975" s="521"/>
      <c r="M1975" s="521"/>
    </row>
    <row r="1976" spans="1:16" s="17" customFormat="1" ht="16.5" customHeight="1" x14ac:dyDescent="0.25">
      <c r="A1976" s="81">
        <v>300</v>
      </c>
      <c r="B1976" s="716" t="s">
        <v>188</v>
      </c>
      <c r="C1976" s="717"/>
      <c r="D1976" s="292">
        <f>D1262</f>
        <v>687133</v>
      </c>
      <c r="E1976" s="293">
        <f>E1262</f>
        <v>542500.26</v>
      </c>
      <c r="F1976" s="292">
        <f>F1262</f>
        <v>296758.59999999998</v>
      </c>
      <c r="G1976" s="86">
        <f t="shared" si="158"/>
        <v>0.43187941781285427</v>
      </c>
      <c r="H1976" s="87">
        <f t="shared" si="159"/>
        <v>0.54702019866313056</v>
      </c>
      <c r="I1976" s="87">
        <f>F1976/F1977</f>
        <v>0.45304959108860249</v>
      </c>
      <c r="K1976" s="521"/>
      <c r="L1976" s="521"/>
      <c r="M1976" s="521"/>
    </row>
    <row r="1977" spans="1:16" s="17" customFormat="1" ht="16.5" customHeight="1" x14ac:dyDescent="0.25">
      <c r="A1977" s="146"/>
      <c r="B1977" s="718" t="s">
        <v>84</v>
      </c>
      <c r="C1977" s="719"/>
      <c r="D1977" s="465">
        <f>D1972+D1973+D1974+D1975+D1976</f>
        <v>990461.95</v>
      </c>
      <c r="E1977" s="465">
        <f t="shared" ref="E1977:F1977" si="160">E1972+E1973+E1974+E1975+E1976</f>
        <v>1017334.01</v>
      </c>
      <c r="F1977" s="465">
        <f t="shared" si="160"/>
        <v>655024.54</v>
      </c>
      <c r="G1977" s="296">
        <f t="shared" si="158"/>
        <v>0.66133236112704785</v>
      </c>
      <c r="H1977" s="48">
        <f t="shared" si="159"/>
        <v>0.64386379847853514</v>
      </c>
      <c r="I1977" s="126">
        <f>SUM(I1972:I1976)</f>
        <v>1.3667376797821955</v>
      </c>
      <c r="K1977" s="521"/>
      <c r="L1977" s="521"/>
      <c r="M1977" s="521"/>
    </row>
    <row r="1978" spans="1:16" s="17" customFormat="1" ht="16.5" customHeight="1" x14ac:dyDescent="0.25">
      <c r="A1978" s="525"/>
      <c r="B1978" s="761" t="s">
        <v>857</v>
      </c>
      <c r="C1978" s="761"/>
      <c r="D1978" s="761"/>
      <c r="E1978" s="761"/>
      <c r="F1978" s="761"/>
      <c r="G1978" s="761"/>
      <c r="H1978" s="761"/>
      <c r="I1978" s="761"/>
      <c r="K1978" s="521"/>
      <c r="L1978" s="521"/>
      <c r="M1978" s="521"/>
    </row>
    <row r="1979" spans="1:16" s="17" customFormat="1" ht="20.25" customHeight="1" x14ac:dyDescent="0.25">
      <c r="A1979" s="715" t="s">
        <v>858</v>
      </c>
      <c r="B1979" s="715"/>
      <c r="C1979" s="715"/>
      <c r="D1979" s="715"/>
      <c r="E1979" s="715"/>
      <c r="F1979" s="715"/>
      <c r="G1979" s="715"/>
      <c r="H1979" s="715"/>
      <c r="I1979" s="715"/>
      <c r="K1979" s="521"/>
      <c r="L1979" s="521"/>
      <c r="M1979" s="521"/>
    </row>
    <row r="1980" spans="1:16" s="17" customFormat="1" ht="16.5" customHeight="1" x14ac:dyDescent="0.25">
      <c r="A1980" s="724" t="s">
        <v>859</v>
      </c>
      <c r="B1980" s="724"/>
      <c r="C1980" s="724"/>
      <c r="D1980" s="724"/>
      <c r="E1980" s="724"/>
      <c r="F1980" s="724"/>
      <c r="G1980" s="724"/>
      <c r="H1980" s="724"/>
      <c r="I1980" s="724"/>
      <c r="K1980" s="521"/>
      <c r="L1980" s="521"/>
      <c r="M1980" s="521"/>
    </row>
    <row r="1981" spans="1:16" s="17" customFormat="1" ht="16.5" customHeight="1" x14ac:dyDescent="0.25">
      <c r="A1981" s="714" t="s">
        <v>860</v>
      </c>
      <c r="B1981" s="714"/>
      <c r="C1981" s="714"/>
      <c r="D1981" s="714"/>
      <c r="E1981" s="714"/>
      <c r="F1981" s="714"/>
      <c r="G1981" s="714"/>
      <c r="H1981" s="714"/>
      <c r="I1981" s="714"/>
      <c r="K1981" s="521"/>
      <c r="L1981" s="521"/>
      <c r="M1981" s="521"/>
      <c r="P1981" s="521"/>
    </row>
    <row r="1982" spans="1:16" s="17" customFormat="1" ht="16.5" customHeight="1" x14ac:dyDescent="0.25">
      <c r="A1982" s="714" t="s">
        <v>861</v>
      </c>
      <c r="B1982" s="714"/>
      <c r="C1982" s="714"/>
      <c r="D1982" s="714"/>
      <c r="E1982" s="714"/>
      <c r="F1982" s="714"/>
      <c r="G1982" s="714"/>
      <c r="H1982" s="714"/>
      <c r="I1982" s="714"/>
      <c r="K1982" s="521"/>
      <c r="L1982" s="521"/>
      <c r="M1982" s="521"/>
      <c r="P1982" s="521"/>
    </row>
    <row r="1983" spans="1:16" s="17" customFormat="1" ht="16.5" customHeight="1" x14ac:dyDescent="0.25">
      <c r="A1983" s="714" t="s">
        <v>862</v>
      </c>
      <c r="B1983" s="714"/>
      <c r="C1983" s="714"/>
      <c r="D1983" s="714"/>
      <c r="E1983" s="714"/>
      <c r="F1983" s="714"/>
      <c r="G1983" s="714"/>
      <c r="H1983" s="714"/>
      <c r="I1983" s="714"/>
      <c r="K1983" s="521"/>
      <c r="L1983" s="521"/>
      <c r="M1983" s="521"/>
      <c r="P1983" s="521"/>
    </row>
    <row r="1984" spans="1:16" s="17" customFormat="1" ht="16.5" customHeight="1" x14ac:dyDescent="0.25">
      <c r="A1984" s="714" t="s">
        <v>863</v>
      </c>
      <c r="B1984" s="714"/>
      <c r="C1984" s="714"/>
      <c r="D1984" s="714"/>
      <c r="E1984" s="714"/>
      <c r="F1984" s="714"/>
      <c r="G1984" s="714"/>
      <c r="H1984" s="714"/>
      <c r="I1984" s="714"/>
      <c r="K1984" s="521"/>
      <c r="L1984" s="521"/>
      <c r="M1984" s="521"/>
      <c r="P1984" s="521"/>
    </row>
    <row r="1985" spans="1:16" s="17" customFormat="1" ht="16.5" customHeight="1" x14ac:dyDescent="0.25">
      <c r="A1985" s="721" t="s">
        <v>864</v>
      </c>
      <c r="B1985" s="721"/>
      <c r="C1985" s="721"/>
      <c r="D1985" s="721"/>
      <c r="E1985" s="721"/>
      <c r="F1985" s="721"/>
      <c r="G1985" s="721"/>
      <c r="H1985" s="721"/>
      <c r="I1985" s="721"/>
      <c r="K1985" s="521"/>
      <c r="L1985" s="521"/>
      <c r="M1985" s="521"/>
      <c r="P1985" s="521"/>
    </row>
    <row r="1986" spans="1:16" s="17" customFormat="1" ht="16.5" customHeight="1" x14ac:dyDescent="0.25">
      <c r="A1986" s="523"/>
      <c r="B1986" s="724" t="s">
        <v>865</v>
      </c>
      <c r="C1986" s="724"/>
      <c r="D1986" s="724"/>
      <c r="E1986" s="724"/>
      <c r="F1986" s="724"/>
      <c r="G1986" s="724"/>
      <c r="H1986" s="724"/>
      <c r="I1986" s="724"/>
      <c r="K1986" s="521"/>
      <c r="L1986" s="521"/>
      <c r="M1986" s="521"/>
      <c r="P1986" s="521"/>
    </row>
    <row r="1987" spans="1:16" s="17" customFormat="1" ht="16.5" customHeight="1" x14ac:dyDescent="0.25">
      <c r="A1987" s="714" t="s">
        <v>532</v>
      </c>
      <c r="B1987" s="714"/>
      <c r="C1987" s="714"/>
      <c r="D1987" s="714"/>
      <c r="E1987" s="714"/>
      <c r="F1987" s="714"/>
      <c r="G1987" s="714"/>
      <c r="H1987" s="714"/>
      <c r="I1987" s="714"/>
      <c r="K1987" s="521"/>
      <c r="L1987" s="521"/>
      <c r="M1987" s="521"/>
      <c r="P1987" s="521"/>
    </row>
    <row r="1988" spans="1:16" s="17" customFormat="1" ht="16.5" customHeight="1" x14ac:dyDescent="0.25">
      <c r="A1988" s="686"/>
      <c r="B1988" s="686"/>
      <c r="C1988" s="686"/>
      <c r="D1988" s="686"/>
      <c r="E1988" s="686"/>
      <c r="F1988" s="686"/>
      <c r="G1988" s="686"/>
      <c r="H1988" s="686"/>
      <c r="I1988" s="686"/>
      <c r="K1988" s="696"/>
      <c r="L1988" s="696"/>
      <c r="M1988" s="696"/>
      <c r="P1988" s="696"/>
    </row>
    <row r="1989" spans="1:16" s="17" customFormat="1" ht="16.5" customHeight="1" x14ac:dyDescent="0.25">
      <c r="A1989" s="686"/>
      <c r="B1989" s="686"/>
      <c r="C1989" s="686"/>
      <c r="D1989" s="686"/>
      <c r="E1989" s="686"/>
      <c r="F1989" s="686"/>
      <c r="G1989" s="686"/>
      <c r="H1989" s="686"/>
      <c r="I1989" s="686"/>
      <c r="K1989" s="696"/>
      <c r="L1989" s="696"/>
      <c r="M1989" s="696"/>
      <c r="P1989" s="696"/>
    </row>
    <row r="1990" spans="1:16" s="17" customFormat="1" ht="16.5" customHeight="1" x14ac:dyDescent="0.25">
      <c r="A1990" s="686"/>
      <c r="B1990" s="686"/>
      <c r="C1990" s="686"/>
      <c r="D1990" s="686"/>
      <c r="E1990" s="686"/>
      <c r="F1990" s="686"/>
      <c r="G1990" s="686"/>
      <c r="H1990" s="686"/>
      <c r="I1990" s="686"/>
      <c r="K1990" s="696"/>
      <c r="L1990" s="696"/>
      <c r="M1990" s="696"/>
      <c r="P1990" s="696"/>
    </row>
    <row r="1991" spans="1:16" s="17" customFormat="1" ht="16.5" customHeight="1" x14ac:dyDescent="0.25">
      <c r="A1991" s="540"/>
      <c r="B1991" s="722" t="s">
        <v>347</v>
      </c>
      <c r="C1991" s="722"/>
      <c r="D1991" s="722"/>
      <c r="E1991" s="297"/>
      <c r="F1991" s="298"/>
      <c r="G1991" s="541"/>
      <c r="H1991" s="260"/>
      <c r="I1991" s="245"/>
      <c r="K1991" s="521"/>
      <c r="L1991" s="521"/>
      <c r="M1991" s="521"/>
      <c r="P1991" s="521"/>
    </row>
    <row r="1992" spans="1:16" s="17" customFormat="1" ht="16.5" customHeight="1" x14ac:dyDescent="0.25">
      <c r="A1992" s="524"/>
      <c r="B1992" s="720" t="s">
        <v>867</v>
      </c>
      <c r="C1992" s="720"/>
      <c r="D1992" s="720"/>
      <c r="E1992" s="720"/>
      <c r="F1992" s="720"/>
      <c r="G1992" s="720"/>
      <c r="H1992" s="720"/>
      <c r="I1992" s="720"/>
      <c r="K1992" s="521"/>
      <c r="L1992" s="521"/>
      <c r="M1992" s="521"/>
      <c r="P1992" s="521"/>
    </row>
    <row r="1993" spans="1:16" s="17" customFormat="1" ht="16.5" customHeight="1" x14ac:dyDescent="0.25">
      <c r="A1993" s="720" t="s">
        <v>1048</v>
      </c>
      <c r="B1993" s="720"/>
      <c r="C1993" s="720"/>
      <c r="D1993" s="720"/>
      <c r="E1993" s="720"/>
      <c r="F1993" s="720"/>
      <c r="G1993" s="720"/>
      <c r="H1993" s="720"/>
      <c r="I1993" s="720"/>
      <c r="K1993" s="521"/>
      <c r="L1993" s="521"/>
      <c r="M1993" s="521"/>
      <c r="P1993" s="521"/>
    </row>
    <row r="1994" spans="1:16" s="17" customFormat="1" ht="16.5" customHeight="1" x14ac:dyDescent="0.25">
      <c r="A1994" s="720" t="s">
        <v>868</v>
      </c>
      <c r="B1994" s="720"/>
      <c r="C1994" s="720"/>
      <c r="D1994" s="720"/>
      <c r="E1994" s="720"/>
      <c r="F1994" s="720"/>
      <c r="G1994" s="720"/>
      <c r="H1994" s="720"/>
      <c r="I1994" s="720"/>
      <c r="K1994" s="521"/>
      <c r="L1994" s="521"/>
      <c r="M1994" s="521"/>
    </row>
    <row r="1995" spans="1:16" s="17" customFormat="1" ht="16.5" customHeight="1" x14ac:dyDescent="0.25">
      <c r="A1995" s="524"/>
      <c r="B1995" s="524" t="s">
        <v>869</v>
      </c>
      <c r="C1995" s="524"/>
      <c r="D1995" s="524"/>
      <c r="E1995" s="524"/>
      <c r="F1995" s="524"/>
      <c r="G1995" s="524"/>
      <c r="H1995" s="524"/>
      <c r="I1995" s="524"/>
      <c r="K1995" s="521"/>
      <c r="L1995" s="521"/>
      <c r="M1995" s="521"/>
    </row>
    <row r="1996" spans="1:16" s="17" customFormat="1" ht="16.5" customHeight="1" x14ac:dyDescent="0.25">
      <c r="A1996" s="524" t="s">
        <v>348</v>
      </c>
      <c r="B1996" s="720" t="s">
        <v>329</v>
      </c>
      <c r="C1996" s="720"/>
      <c r="D1996" s="720"/>
      <c r="E1996" s="720"/>
      <c r="F1996" s="720"/>
      <c r="G1996" s="720"/>
      <c r="H1996" s="720"/>
      <c r="I1996" s="720"/>
      <c r="K1996" s="521"/>
      <c r="L1996" s="521"/>
      <c r="M1996" s="521"/>
    </row>
    <row r="1997" spans="1:16" s="17" customFormat="1" ht="16.5" customHeight="1" x14ac:dyDescent="0.25">
      <c r="A1997" s="523"/>
      <c r="B1997" s="523"/>
      <c r="C1997" s="523"/>
      <c r="D1997" s="523"/>
      <c r="E1997" s="701" t="s">
        <v>85</v>
      </c>
      <c r="F1997" s="523"/>
      <c r="G1997" s="523"/>
      <c r="H1997" s="523"/>
      <c r="I1997" s="523"/>
      <c r="K1997" s="521"/>
      <c r="L1997" s="521"/>
      <c r="M1997" s="521"/>
    </row>
    <row r="1998" spans="1:16" s="17" customFormat="1" ht="16.5" customHeight="1" x14ac:dyDescent="0.25">
      <c r="A1998" s="192"/>
      <c r="B1998" s="214"/>
      <c r="C1998" s="15"/>
      <c r="D1998" s="537"/>
      <c r="E1998" s="746"/>
      <c r="F1998" s="537"/>
      <c r="G1998" s="192"/>
      <c r="H1998" s="537"/>
      <c r="I1998" s="537"/>
      <c r="K1998" s="521"/>
      <c r="L1998" s="521"/>
      <c r="M1998" s="521"/>
    </row>
    <row r="1999" spans="1:16" s="17" customFormat="1" ht="16.5" customHeight="1" x14ac:dyDescent="0.25">
      <c r="A1999" s="557" t="s">
        <v>48</v>
      </c>
      <c r="B1999" s="702" t="s">
        <v>49</v>
      </c>
      <c r="C1999" s="703"/>
      <c r="D1999" s="380" t="s">
        <v>86</v>
      </c>
      <c r="E1999" s="530" t="s">
        <v>321</v>
      </c>
      <c r="F1999" s="40" t="s">
        <v>87</v>
      </c>
      <c r="G1999" s="706" t="s">
        <v>52</v>
      </c>
      <c r="H1999" s="707"/>
      <c r="I1999" s="708" t="s">
        <v>53</v>
      </c>
      <c r="K1999" s="521"/>
      <c r="L1999" s="521"/>
      <c r="M1999" s="521"/>
    </row>
    <row r="2000" spans="1:16" s="17" customFormat="1" ht="16.5" customHeight="1" x14ac:dyDescent="0.25">
      <c r="A2000" s="574" t="s">
        <v>88</v>
      </c>
      <c r="B2000" s="704"/>
      <c r="C2000" s="705"/>
      <c r="D2000" s="381" t="s">
        <v>541</v>
      </c>
      <c r="E2000" s="41" t="s">
        <v>573</v>
      </c>
      <c r="F2000" s="41" t="s">
        <v>607</v>
      </c>
      <c r="G2000" s="24" t="s">
        <v>55</v>
      </c>
      <c r="H2000" s="24" t="s">
        <v>56</v>
      </c>
      <c r="I2000" s="709"/>
      <c r="K2000" s="521"/>
      <c r="L2000" s="521"/>
      <c r="M2000" s="521"/>
    </row>
    <row r="2001" spans="1:14" s="17" customFormat="1" ht="16.5" customHeight="1" x14ac:dyDescent="0.25">
      <c r="A2001" s="142">
        <v>1</v>
      </c>
      <c r="B2001" s="710">
        <v>2</v>
      </c>
      <c r="C2001" s="711"/>
      <c r="D2001" s="513">
        <v>3</v>
      </c>
      <c r="E2001" s="129">
        <v>4</v>
      </c>
      <c r="F2001" s="129">
        <v>5</v>
      </c>
      <c r="G2001" s="129">
        <v>6</v>
      </c>
      <c r="H2001" s="129">
        <v>7</v>
      </c>
      <c r="I2001" s="142">
        <v>8</v>
      </c>
      <c r="K2001" s="521"/>
      <c r="L2001" s="521"/>
      <c r="M2001" s="521"/>
      <c r="N2001" s="423"/>
    </row>
    <row r="2002" spans="1:14" s="17" customFormat="1" ht="20.25" customHeight="1" x14ac:dyDescent="0.25">
      <c r="A2002" s="100">
        <v>50017</v>
      </c>
      <c r="B2002" s="759" t="s">
        <v>432</v>
      </c>
      <c r="C2002" s="760"/>
      <c r="D2002" s="75">
        <f t="shared" ref="D2002:F2007" si="161">D307</f>
        <v>300</v>
      </c>
      <c r="E2002" s="274">
        <f t="shared" si="161"/>
        <v>0</v>
      </c>
      <c r="F2002" s="75">
        <f t="shared" si="161"/>
        <v>0</v>
      </c>
      <c r="G2002" s="86">
        <f t="shared" ref="G2002:G2011" si="162">F2002/D2002</f>
        <v>0</v>
      </c>
      <c r="H2002" s="87" t="e">
        <f t="shared" ref="H2002:H2011" si="163">F2002/E2002</f>
        <v>#DIV/0!</v>
      </c>
      <c r="I2002" s="76">
        <f>F2002/F2008</f>
        <v>0</v>
      </c>
      <c r="K2002" s="521"/>
      <c r="L2002" s="521"/>
      <c r="M2002" s="521"/>
    </row>
    <row r="2003" spans="1:14" s="17" customFormat="1" ht="16.5" customHeight="1" x14ac:dyDescent="0.25">
      <c r="A2003" s="101">
        <v>500205</v>
      </c>
      <c r="B2003" s="759" t="s">
        <v>524</v>
      </c>
      <c r="C2003" s="760"/>
      <c r="D2003" s="75">
        <f t="shared" si="161"/>
        <v>0</v>
      </c>
      <c r="E2003" s="274">
        <f t="shared" si="161"/>
        <v>0</v>
      </c>
      <c r="F2003" s="75">
        <f t="shared" si="161"/>
        <v>0</v>
      </c>
      <c r="G2003" s="86" t="e">
        <f t="shared" si="162"/>
        <v>#DIV/0!</v>
      </c>
      <c r="H2003" s="87" t="e">
        <f t="shared" si="163"/>
        <v>#DIV/0!</v>
      </c>
      <c r="I2003" s="76">
        <f>F2003/F2008</f>
        <v>0</v>
      </c>
      <c r="K2003" s="521"/>
      <c r="L2003" s="521"/>
      <c r="M2003" s="521"/>
    </row>
    <row r="2004" spans="1:14" s="17" customFormat="1" ht="16.5" customHeight="1" x14ac:dyDescent="0.25">
      <c r="A2004" s="79">
        <v>50206</v>
      </c>
      <c r="B2004" s="712" t="s">
        <v>124</v>
      </c>
      <c r="C2004" s="713"/>
      <c r="D2004" s="75">
        <f t="shared" si="161"/>
        <v>6200</v>
      </c>
      <c r="E2004" s="274">
        <f t="shared" si="161"/>
        <v>0</v>
      </c>
      <c r="F2004" s="75">
        <f t="shared" si="161"/>
        <v>3350</v>
      </c>
      <c r="G2004" s="86">
        <f t="shared" si="162"/>
        <v>0.54032258064516125</v>
      </c>
      <c r="H2004" s="87" t="e">
        <f t="shared" si="163"/>
        <v>#DIV/0!</v>
      </c>
      <c r="I2004" s="76">
        <f>F2004/F2008</f>
        <v>0.11001642036124795</v>
      </c>
      <c r="K2004" s="521"/>
      <c r="L2004" s="521"/>
      <c r="M2004" s="521"/>
    </row>
    <row r="2005" spans="1:14" s="17" customFormat="1" ht="16.5" customHeight="1" x14ac:dyDescent="0.25">
      <c r="A2005" s="79">
        <v>50208</v>
      </c>
      <c r="B2005" s="712" t="s">
        <v>125</v>
      </c>
      <c r="C2005" s="713"/>
      <c r="D2005" s="75">
        <f t="shared" si="161"/>
        <v>8950</v>
      </c>
      <c r="E2005" s="274">
        <f t="shared" si="161"/>
        <v>5000</v>
      </c>
      <c r="F2005" s="75">
        <f t="shared" si="161"/>
        <v>17250</v>
      </c>
      <c r="G2005" s="86">
        <f t="shared" si="162"/>
        <v>1.9273743016759777</v>
      </c>
      <c r="H2005" s="87">
        <f t="shared" si="163"/>
        <v>3.45</v>
      </c>
      <c r="I2005" s="76">
        <f>F2005/F2008</f>
        <v>0.56650246305418717</v>
      </c>
      <c r="K2005" s="521"/>
      <c r="L2005" s="521"/>
      <c r="M2005" s="521"/>
    </row>
    <row r="2006" spans="1:14" s="17" customFormat="1" ht="16.5" customHeight="1" x14ac:dyDescent="0.25">
      <c r="A2006" s="79" t="s">
        <v>126</v>
      </c>
      <c r="B2006" s="712" t="s">
        <v>349</v>
      </c>
      <c r="C2006" s="713"/>
      <c r="D2006" s="75">
        <f t="shared" si="161"/>
        <v>0</v>
      </c>
      <c r="E2006" s="274">
        <f t="shared" si="161"/>
        <v>0</v>
      </c>
      <c r="F2006" s="75">
        <f t="shared" si="161"/>
        <v>0</v>
      </c>
      <c r="G2006" s="86" t="e">
        <f t="shared" si="162"/>
        <v>#DIV/0!</v>
      </c>
      <c r="H2006" s="87" t="e">
        <f t="shared" si="163"/>
        <v>#DIV/0!</v>
      </c>
      <c r="I2006" s="76">
        <f>F2006/F2008</f>
        <v>0</v>
      </c>
      <c r="K2006" s="521"/>
      <c r="L2006" s="521"/>
      <c r="M2006" s="521"/>
    </row>
    <row r="2007" spans="1:14" s="17" customFormat="1" ht="16.5" customHeight="1" x14ac:dyDescent="0.25">
      <c r="A2007" s="81">
        <v>50211</v>
      </c>
      <c r="B2007" s="712" t="s">
        <v>127</v>
      </c>
      <c r="C2007" s="713"/>
      <c r="D2007" s="75">
        <f t="shared" si="161"/>
        <v>24740</v>
      </c>
      <c r="E2007" s="274">
        <f t="shared" si="161"/>
        <v>15000</v>
      </c>
      <c r="F2007" s="75">
        <f t="shared" si="161"/>
        <v>9850</v>
      </c>
      <c r="G2007" s="86">
        <f t="shared" si="162"/>
        <v>0.39814066289409861</v>
      </c>
      <c r="H2007" s="87">
        <f t="shared" si="163"/>
        <v>0.65666666666666662</v>
      </c>
      <c r="I2007" s="76">
        <f>F2007/F2008</f>
        <v>0.32348111658456485</v>
      </c>
      <c r="K2007" s="521"/>
      <c r="L2007" s="521"/>
      <c r="M2007" s="521"/>
    </row>
    <row r="2008" spans="1:14" s="17" customFormat="1" ht="16.5" customHeight="1" x14ac:dyDescent="0.25">
      <c r="A2008" s="81"/>
      <c r="B2008" s="478" t="s">
        <v>525</v>
      </c>
      <c r="C2008" s="515"/>
      <c r="D2008" s="104">
        <f>D2002+D2003+D2004+D2005+D2006+D2007</f>
        <v>40190</v>
      </c>
      <c r="E2008" s="396">
        <f>E2002+E2003+E2004+E2005+E2006+E2007</f>
        <v>20000</v>
      </c>
      <c r="F2008" s="104">
        <f>F2002+F2003+F2004+F2005+F2006+F2007</f>
        <v>30450</v>
      </c>
      <c r="G2008" s="86">
        <f t="shared" si="162"/>
        <v>0.75765115700422991</v>
      </c>
      <c r="H2008" s="87">
        <f t="shared" si="163"/>
        <v>1.5225</v>
      </c>
      <c r="I2008" s="29">
        <f>F2008/F2011</f>
        <v>0.53733916000742576</v>
      </c>
      <c r="K2008" s="521"/>
      <c r="L2008" s="521"/>
      <c r="M2008" s="521"/>
    </row>
    <row r="2009" spans="1:14" s="17" customFormat="1" ht="16.5" customHeight="1" x14ac:dyDescent="0.25">
      <c r="A2009" s="81"/>
      <c r="B2009" s="478" t="s">
        <v>526</v>
      </c>
      <c r="C2009" s="515"/>
      <c r="D2009" s="102">
        <f>D2010</f>
        <v>301131.67</v>
      </c>
      <c r="E2009" s="266"/>
      <c r="F2009" s="104">
        <f>F2010</f>
        <v>26218.12</v>
      </c>
      <c r="G2009" s="86"/>
      <c r="H2009" s="87"/>
      <c r="I2009" s="76"/>
      <c r="K2009" s="521"/>
      <c r="L2009" s="521"/>
      <c r="M2009" s="521"/>
    </row>
    <row r="2010" spans="1:14" s="17" customFormat="1" ht="16.5" customHeight="1" x14ac:dyDescent="0.25">
      <c r="A2010" s="81"/>
      <c r="B2010" s="712" t="s">
        <v>527</v>
      </c>
      <c r="C2010" s="713"/>
      <c r="D2010" s="102">
        <f>D315</f>
        <v>301131.67</v>
      </c>
      <c r="E2010" s="289">
        <v>0</v>
      </c>
      <c r="F2010" s="102">
        <f>F315</f>
        <v>26218.12</v>
      </c>
      <c r="G2010" s="86">
        <f t="shared" si="162"/>
        <v>8.7065302696325494E-2</v>
      </c>
      <c r="H2010" s="87" t="e">
        <f t="shared" si="163"/>
        <v>#DIV/0!</v>
      </c>
      <c r="I2010" s="29">
        <f>F2010/F2011</f>
        <v>0.46266083999257435</v>
      </c>
      <c r="K2010" s="521"/>
      <c r="L2010" s="521"/>
      <c r="M2010" s="521"/>
    </row>
    <row r="2011" spans="1:14" s="17" customFormat="1" ht="16.5" customHeight="1" x14ac:dyDescent="0.25">
      <c r="A2011" s="228"/>
      <c r="B2011" s="718" t="s">
        <v>350</v>
      </c>
      <c r="C2011" s="719"/>
      <c r="D2011" s="474">
        <f>D2002+D2003+D2004+D2005+D2006+D2007+D2010</f>
        <v>341321.67</v>
      </c>
      <c r="E2011" s="474">
        <f t="shared" ref="E2011:F2011" si="164">E2002+E2003+E2004+E2005+E2006+E2007+E2010</f>
        <v>20000</v>
      </c>
      <c r="F2011" s="474">
        <f t="shared" si="164"/>
        <v>56668.119999999995</v>
      </c>
      <c r="G2011" s="299">
        <f t="shared" si="162"/>
        <v>0.1660255558927741</v>
      </c>
      <c r="H2011" s="300">
        <f t="shared" si="163"/>
        <v>2.8334059999999996</v>
      </c>
      <c r="I2011" s="301">
        <f>I2008+I2010</f>
        <v>1</v>
      </c>
      <c r="K2011" s="521"/>
      <c r="L2011" s="521"/>
      <c r="M2011" s="521"/>
    </row>
    <row r="2012" spans="1:14" s="17" customFormat="1" ht="16.5" customHeight="1" x14ac:dyDescent="0.25">
      <c r="A2012" s="757" t="s">
        <v>870</v>
      </c>
      <c r="B2012" s="757"/>
      <c r="C2012" s="757"/>
      <c r="D2012" s="757"/>
      <c r="E2012" s="757"/>
      <c r="F2012" s="757"/>
      <c r="G2012" s="757"/>
      <c r="H2012" s="757"/>
      <c r="I2012" s="757"/>
      <c r="K2012" s="521"/>
      <c r="L2012" s="521"/>
      <c r="M2012" s="521"/>
    </row>
    <row r="2013" spans="1:14" s="17" customFormat="1" ht="16.5" customHeight="1" x14ac:dyDescent="0.25">
      <c r="A2013" s="758" t="s">
        <v>871</v>
      </c>
      <c r="B2013" s="758"/>
      <c r="C2013" s="758"/>
      <c r="D2013" s="758"/>
      <c r="E2013" s="758"/>
      <c r="F2013" s="758"/>
      <c r="G2013" s="758"/>
      <c r="H2013" s="758"/>
      <c r="I2013" s="758"/>
      <c r="K2013" s="521"/>
      <c r="L2013" s="521"/>
      <c r="M2013" s="521"/>
    </row>
    <row r="2014" spans="1:14" s="17" customFormat="1" ht="16.5" customHeight="1" x14ac:dyDescent="0.25">
      <c r="B2014" s="575"/>
      <c r="C2014" s="575"/>
      <c r="D2014" s="575"/>
      <c r="E2014" s="216"/>
      <c r="F2014" s="216"/>
      <c r="G2014" s="216"/>
      <c r="I2014" s="216"/>
      <c r="K2014" s="521"/>
      <c r="L2014" s="521"/>
      <c r="M2014" s="521"/>
    </row>
    <row r="2015" spans="1:14" s="17" customFormat="1" ht="16.5" customHeight="1" x14ac:dyDescent="0.25">
      <c r="B2015" s="695"/>
      <c r="C2015" s="695"/>
      <c r="D2015" s="695"/>
      <c r="E2015" s="216"/>
      <c r="F2015" s="216"/>
      <c r="G2015" s="216"/>
      <c r="I2015" s="216"/>
      <c r="K2015" s="696"/>
      <c r="L2015" s="696"/>
      <c r="M2015" s="696"/>
    </row>
    <row r="2016" spans="1:14" s="17" customFormat="1" ht="16.5" customHeight="1" x14ac:dyDescent="0.25">
      <c r="B2016" s="695"/>
      <c r="C2016" s="695"/>
      <c r="D2016" s="695"/>
      <c r="E2016" s="216"/>
      <c r="F2016" s="216"/>
      <c r="G2016" s="216"/>
      <c r="I2016" s="216"/>
      <c r="K2016" s="696"/>
      <c r="L2016" s="696"/>
      <c r="M2016" s="696"/>
    </row>
    <row r="2017" spans="1:13" s="17" customFormat="1" ht="16.5" customHeight="1" x14ac:dyDescent="0.25">
      <c r="B2017" s="695"/>
      <c r="C2017" s="695"/>
      <c r="D2017" s="695"/>
      <c r="E2017" s="216"/>
      <c r="F2017" s="216"/>
      <c r="G2017" s="216"/>
      <c r="I2017" s="216"/>
      <c r="K2017" s="696"/>
      <c r="L2017" s="696"/>
      <c r="M2017" s="696"/>
    </row>
    <row r="2018" spans="1:13" s="17" customFormat="1" ht="16.5" customHeight="1" x14ac:dyDescent="0.25">
      <c r="B2018" s="695"/>
      <c r="C2018" s="695"/>
      <c r="D2018" s="695"/>
      <c r="E2018" s="216"/>
      <c r="F2018" s="216"/>
      <c r="G2018" s="216"/>
      <c r="I2018" s="216"/>
      <c r="K2018" s="696"/>
      <c r="L2018" s="696"/>
      <c r="M2018" s="696"/>
    </row>
    <row r="2019" spans="1:13" s="17" customFormat="1" ht="16.5" customHeight="1" x14ac:dyDescent="0.25">
      <c r="B2019" s="695"/>
      <c r="C2019" s="695"/>
      <c r="D2019" s="695"/>
      <c r="E2019" s="216"/>
      <c r="F2019" s="216"/>
      <c r="G2019" s="216"/>
      <c r="I2019" s="216"/>
      <c r="K2019" s="696"/>
      <c r="L2019" s="696"/>
      <c r="M2019" s="696"/>
    </row>
    <row r="2020" spans="1:13" s="17" customFormat="1" ht="16.5" customHeight="1" x14ac:dyDescent="0.25">
      <c r="B2020" s="695"/>
      <c r="C2020" s="695"/>
      <c r="D2020" s="695"/>
      <c r="E2020" s="216"/>
      <c r="F2020" s="216"/>
      <c r="G2020" s="216"/>
      <c r="I2020" s="216"/>
      <c r="K2020" s="696"/>
      <c r="L2020" s="696"/>
      <c r="M2020" s="696"/>
    </row>
    <row r="2021" spans="1:13" s="17" customFormat="1" ht="16.5" customHeight="1" x14ac:dyDescent="0.25">
      <c r="B2021" s="695"/>
      <c r="C2021" s="695"/>
      <c r="D2021" s="695"/>
      <c r="E2021" s="216"/>
      <c r="F2021" s="216"/>
      <c r="G2021" s="216"/>
      <c r="I2021" s="695">
        <v>33</v>
      </c>
      <c r="K2021" s="696"/>
      <c r="L2021" s="696"/>
      <c r="M2021" s="696"/>
    </row>
    <row r="2022" spans="1:13" s="17" customFormat="1" ht="16.5" customHeight="1" x14ac:dyDescent="0.25">
      <c r="B2022" s="695"/>
      <c r="C2022" s="695"/>
      <c r="D2022" s="695"/>
      <c r="E2022" s="216"/>
      <c r="F2022" s="216"/>
      <c r="G2022" s="216"/>
      <c r="I2022" s="216"/>
      <c r="K2022" s="696"/>
      <c r="L2022" s="696"/>
      <c r="M2022" s="696"/>
    </row>
    <row r="2023" spans="1:13" s="17" customFormat="1" ht="16.5" customHeight="1" x14ac:dyDescent="0.25">
      <c r="B2023" s="695"/>
      <c r="C2023" s="695"/>
      <c r="D2023" s="695"/>
      <c r="E2023" s="216"/>
      <c r="F2023" s="216"/>
      <c r="G2023" s="216"/>
      <c r="I2023" s="216"/>
      <c r="K2023" s="696"/>
      <c r="L2023" s="696"/>
      <c r="M2023" s="696"/>
    </row>
    <row r="2024" spans="1:13" s="17" customFormat="1" ht="16.5" customHeight="1" x14ac:dyDescent="0.25">
      <c r="A2024" s="523"/>
      <c r="B2024" s="523" t="s">
        <v>866</v>
      </c>
      <c r="C2024" s="523"/>
      <c r="D2024" s="523"/>
      <c r="E2024" s="701" t="s">
        <v>85</v>
      </c>
      <c r="F2024" s="523"/>
      <c r="G2024" s="523"/>
      <c r="H2024" s="523"/>
      <c r="I2024" s="523"/>
      <c r="K2024" s="521"/>
      <c r="L2024" s="521"/>
      <c r="M2024" s="521"/>
    </row>
    <row r="2025" spans="1:13" s="17" customFormat="1" ht="18.75" customHeight="1" x14ac:dyDescent="0.25">
      <c r="A2025" s="192"/>
      <c r="B2025" s="214"/>
      <c r="C2025" s="15"/>
      <c r="D2025" s="537"/>
      <c r="E2025" s="701"/>
      <c r="F2025" s="537"/>
      <c r="G2025" s="192"/>
      <c r="H2025" s="537"/>
      <c r="I2025" s="537"/>
      <c r="K2025" s="521"/>
      <c r="L2025" s="521"/>
      <c r="M2025" s="521"/>
    </row>
    <row r="2026" spans="1:13" s="17" customFormat="1" ht="16.5" customHeight="1" x14ac:dyDescent="0.25">
      <c r="A2026" s="557" t="s">
        <v>48</v>
      </c>
      <c r="B2026" s="702" t="s">
        <v>49</v>
      </c>
      <c r="C2026" s="703"/>
      <c r="D2026" s="380" t="s">
        <v>86</v>
      </c>
      <c r="E2026" s="530" t="s">
        <v>152</v>
      </c>
      <c r="F2026" s="40" t="s">
        <v>87</v>
      </c>
      <c r="G2026" s="706" t="s">
        <v>52</v>
      </c>
      <c r="H2026" s="707"/>
      <c r="I2026" s="708" t="s">
        <v>53</v>
      </c>
      <c r="K2026" s="521"/>
      <c r="L2026" s="521"/>
      <c r="M2026" s="521"/>
    </row>
    <row r="2027" spans="1:13" s="17" customFormat="1" ht="16.5" customHeight="1" x14ac:dyDescent="0.25">
      <c r="A2027" s="574" t="s">
        <v>88</v>
      </c>
      <c r="B2027" s="704"/>
      <c r="C2027" s="705"/>
      <c r="D2027" s="381" t="s">
        <v>541</v>
      </c>
      <c r="E2027" s="41" t="s">
        <v>573</v>
      </c>
      <c r="F2027" s="41" t="s">
        <v>607</v>
      </c>
      <c r="G2027" s="24" t="s">
        <v>55</v>
      </c>
      <c r="H2027" s="24" t="s">
        <v>56</v>
      </c>
      <c r="I2027" s="709"/>
      <c r="K2027" s="521"/>
      <c r="L2027" s="521"/>
      <c r="M2027" s="521"/>
    </row>
    <row r="2028" spans="1:13" s="17" customFormat="1" ht="16.5" customHeight="1" x14ac:dyDescent="0.25">
      <c r="A2028" s="142">
        <v>1</v>
      </c>
      <c r="B2028" s="710">
        <v>2</v>
      </c>
      <c r="C2028" s="711"/>
      <c r="D2028" s="513">
        <v>3</v>
      </c>
      <c r="E2028" s="129">
        <v>4</v>
      </c>
      <c r="F2028" s="129">
        <v>5</v>
      </c>
      <c r="G2028" s="129">
        <v>6</v>
      </c>
      <c r="H2028" s="129">
        <v>7</v>
      </c>
      <c r="I2028" s="142">
        <v>8</v>
      </c>
      <c r="K2028" s="521"/>
      <c r="L2028" s="521"/>
      <c r="M2028" s="521"/>
    </row>
    <row r="2029" spans="1:13" s="17" customFormat="1" ht="16.5" customHeight="1" x14ac:dyDescent="0.25">
      <c r="A2029" s="81">
        <v>111</v>
      </c>
      <c r="B2029" s="716" t="s">
        <v>184</v>
      </c>
      <c r="C2029" s="717"/>
      <c r="D2029" s="5">
        <f>D672</f>
        <v>54457.86</v>
      </c>
      <c r="E2029" s="145">
        <f>E672</f>
        <v>87936.29</v>
      </c>
      <c r="F2029" s="5">
        <f>F672</f>
        <v>68754.63</v>
      </c>
      <c r="G2029" s="86">
        <f t="shared" ref="G2029:G2034" si="165">F2029/D2029</f>
        <v>1.2625290453939984</v>
      </c>
      <c r="H2029" s="87">
        <f t="shared" ref="H2029:H2034" si="166">F2029/E2029</f>
        <v>0.78186866878282002</v>
      </c>
      <c r="I2029" s="87">
        <f>F2029/F2034</f>
        <v>0.24763802549077199</v>
      </c>
      <c r="K2029" s="521"/>
      <c r="L2029" s="521"/>
      <c r="M2029" s="521"/>
    </row>
    <row r="2030" spans="1:13" s="17" customFormat="1" ht="16.5" customHeight="1" x14ac:dyDescent="0.25">
      <c r="A2030" s="81">
        <v>130</v>
      </c>
      <c r="B2030" s="716" t="s">
        <v>185</v>
      </c>
      <c r="C2030" s="717"/>
      <c r="D2030" s="434">
        <f>D882</f>
        <v>98391.63</v>
      </c>
      <c r="E2030" s="5">
        <f>E882</f>
        <v>66168.47</v>
      </c>
      <c r="F2030" s="434">
        <f>F882</f>
        <v>55369.88</v>
      </c>
      <c r="G2030" s="86">
        <f t="shared" si="165"/>
        <v>0.56274990057589247</v>
      </c>
      <c r="H2030" s="87">
        <f t="shared" si="166"/>
        <v>0.83680157633990926</v>
      </c>
      <c r="I2030" s="87">
        <f>F2030/F2034</f>
        <v>0.19942930032291623</v>
      </c>
      <c r="K2030" s="521"/>
      <c r="L2030" s="521"/>
      <c r="M2030" s="521"/>
    </row>
    <row r="2031" spans="1:13" s="17" customFormat="1" ht="16.5" customHeight="1" x14ac:dyDescent="0.25">
      <c r="A2031" s="81">
        <v>132</v>
      </c>
      <c r="B2031" s="716" t="s">
        <v>186</v>
      </c>
      <c r="C2031" s="717"/>
      <c r="D2031" s="5">
        <v>0</v>
      </c>
      <c r="E2031" s="145">
        <f>0+0+0</f>
        <v>0</v>
      </c>
      <c r="F2031" s="5">
        <v>0</v>
      </c>
      <c r="G2031" s="86" t="e">
        <f t="shared" si="165"/>
        <v>#DIV/0!</v>
      </c>
      <c r="H2031" s="87" t="e">
        <f t="shared" si="166"/>
        <v>#DIV/0!</v>
      </c>
      <c r="I2031" s="87">
        <f>F2031/F2034</f>
        <v>0</v>
      </c>
      <c r="K2031" s="521"/>
      <c r="L2031" s="521"/>
      <c r="M2031" s="521"/>
    </row>
    <row r="2032" spans="1:13" s="17" customFormat="1" ht="16.5" customHeight="1" x14ac:dyDescent="0.25">
      <c r="A2032" s="81">
        <v>200</v>
      </c>
      <c r="B2032" s="716" t="s">
        <v>187</v>
      </c>
      <c r="C2032" s="717"/>
      <c r="D2032" s="5">
        <f>D1155</f>
        <v>0</v>
      </c>
      <c r="E2032" s="5">
        <f t="shared" ref="E2032:F2032" si="167">E1155</f>
        <v>100000</v>
      </c>
      <c r="F2032" s="5">
        <f t="shared" si="167"/>
        <v>70317.14</v>
      </c>
      <c r="G2032" s="86" t="e">
        <f t="shared" si="165"/>
        <v>#DIV/0!</v>
      </c>
      <c r="H2032" s="87">
        <f t="shared" si="166"/>
        <v>0.7031714</v>
      </c>
      <c r="I2032" s="87">
        <f>F2032/F2034</f>
        <v>0.25326581944747839</v>
      </c>
      <c r="K2032" s="521"/>
      <c r="L2032" s="521"/>
      <c r="M2032" s="521"/>
    </row>
    <row r="2033" spans="1:13" s="17" customFormat="1" ht="16.5" customHeight="1" x14ac:dyDescent="0.25">
      <c r="A2033" s="81">
        <v>300</v>
      </c>
      <c r="B2033" s="716" t="s">
        <v>188</v>
      </c>
      <c r="C2033" s="717"/>
      <c r="D2033" s="5">
        <f>D1263</f>
        <v>83464</v>
      </c>
      <c r="E2033" s="5">
        <f t="shared" ref="E2033:F2033" si="168">E1263</f>
        <v>205990</v>
      </c>
      <c r="F2033" s="5">
        <f t="shared" si="168"/>
        <v>83200</v>
      </c>
      <c r="G2033" s="86">
        <f t="shared" si="165"/>
        <v>0.99683695964727304</v>
      </c>
      <c r="H2033" s="87">
        <f t="shared" si="166"/>
        <v>0.4039031020923346</v>
      </c>
      <c r="I2033" s="87">
        <f>F2033/F2034</f>
        <v>0.29966685473883331</v>
      </c>
      <c r="K2033" s="521"/>
      <c r="L2033" s="521"/>
      <c r="M2033" s="521"/>
    </row>
    <row r="2034" spans="1:13" s="17" customFormat="1" ht="16.5" customHeight="1" x14ac:dyDescent="0.25">
      <c r="A2034" s="146"/>
      <c r="B2034" s="718" t="s">
        <v>84</v>
      </c>
      <c r="C2034" s="719"/>
      <c r="D2034" s="465">
        <f>D2029+D2030+D2031+D2032+D2033</f>
        <v>236313.49</v>
      </c>
      <c r="E2034" s="465">
        <f t="shared" ref="E2034:F2034" si="169">E2029+E2030+E2031+E2032+E2033</f>
        <v>460094.76</v>
      </c>
      <c r="F2034" s="465">
        <f t="shared" si="169"/>
        <v>277641.65000000002</v>
      </c>
      <c r="G2034" s="169">
        <f t="shared" si="165"/>
        <v>1.1748870113170435</v>
      </c>
      <c r="H2034" s="137">
        <f t="shared" si="166"/>
        <v>0.6034444947819011</v>
      </c>
      <c r="I2034" s="174">
        <f>SUM(I2029:I2033)</f>
        <v>1</v>
      </c>
      <c r="K2034" s="521"/>
      <c r="L2034" s="521"/>
      <c r="M2034" s="521"/>
    </row>
    <row r="2035" spans="1:13" s="17" customFormat="1" ht="16.5" customHeight="1" x14ac:dyDescent="0.25">
      <c r="A2035" s="302"/>
      <c r="B2035" s="303"/>
      <c r="C2035" s="303"/>
      <c r="D2035" s="303"/>
      <c r="E2035" s="302"/>
      <c r="F2035" s="302"/>
      <c r="G2035" s="302"/>
      <c r="H2035" s="302"/>
      <c r="I2035" s="273"/>
      <c r="K2035" s="521"/>
      <c r="L2035" s="521"/>
      <c r="M2035" s="521"/>
    </row>
    <row r="2036" spans="1:13" s="17" customFormat="1" ht="16.5" customHeight="1" x14ac:dyDescent="0.25">
      <c r="A2036" s="524"/>
      <c r="B2036" s="715" t="s">
        <v>872</v>
      </c>
      <c r="C2036" s="715"/>
      <c r="D2036" s="715"/>
      <c r="E2036" s="715"/>
      <c r="F2036" s="715"/>
      <c r="G2036" s="715"/>
      <c r="H2036" s="715"/>
      <c r="I2036" s="715"/>
      <c r="K2036" s="521"/>
      <c r="L2036" s="521"/>
      <c r="M2036" s="521"/>
    </row>
    <row r="2037" spans="1:13" s="17" customFormat="1" ht="16.5" customHeight="1" x14ac:dyDescent="0.25">
      <c r="A2037" s="715" t="s">
        <v>873</v>
      </c>
      <c r="B2037" s="715"/>
      <c r="C2037" s="715"/>
      <c r="D2037" s="715"/>
      <c r="E2037" s="715"/>
      <c r="F2037" s="715"/>
      <c r="G2037" s="715"/>
      <c r="H2037" s="715"/>
      <c r="I2037" s="715"/>
      <c r="K2037" s="521"/>
      <c r="L2037" s="521"/>
      <c r="M2037" s="521"/>
    </row>
    <row r="2038" spans="1:13" s="17" customFormat="1" ht="16.5" customHeight="1" x14ac:dyDescent="0.25">
      <c r="A2038" s="586" t="s">
        <v>874</v>
      </c>
      <c r="B2038" s="586"/>
      <c r="C2038" s="586"/>
      <c r="D2038" s="586"/>
      <c r="E2038" s="586"/>
      <c r="F2038" s="586"/>
      <c r="G2038" s="586"/>
      <c r="H2038" s="586"/>
      <c r="I2038" s="586"/>
      <c r="K2038" s="521"/>
      <c r="L2038" s="521"/>
      <c r="M2038" s="521"/>
    </row>
    <row r="2039" spans="1:13" s="17" customFormat="1" ht="16.5" customHeight="1" x14ac:dyDescent="0.25">
      <c r="A2039" s="714" t="s">
        <v>875</v>
      </c>
      <c r="B2039" s="714"/>
      <c r="C2039" s="714"/>
      <c r="D2039" s="714"/>
      <c r="E2039" s="714"/>
      <c r="F2039" s="714"/>
      <c r="G2039" s="714"/>
      <c r="H2039" s="714"/>
      <c r="I2039" s="714"/>
      <c r="K2039" s="521"/>
      <c r="L2039" s="521"/>
      <c r="M2039" s="521"/>
    </row>
    <row r="2040" spans="1:13" s="17" customFormat="1" ht="16.5" customHeight="1" x14ac:dyDescent="0.25">
      <c r="A2040" s="714" t="s">
        <v>876</v>
      </c>
      <c r="B2040" s="714"/>
      <c r="C2040" s="714"/>
      <c r="D2040" s="714"/>
      <c r="E2040" s="714"/>
      <c r="F2040" s="714"/>
      <c r="G2040" s="714"/>
      <c r="H2040" s="714"/>
      <c r="I2040" s="714"/>
      <c r="K2040" s="521"/>
      <c r="L2040" s="521"/>
      <c r="M2040" s="521"/>
    </row>
    <row r="2041" spans="1:13" s="17" customFormat="1" ht="16.5" customHeight="1" x14ac:dyDescent="0.25">
      <c r="A2041" s="714" t="s">
        <v>877</v>
      </c>
      <c r="B2041" s="714"/>
      <c r="C2041" s="714"/>
      <c r="D2041" s="714"/>
      <c r="E2041" s="714"/>
      <c r="F2041" s="714"/>
      <c r="G2041" s="714"/>
      <c r="H2041" s="714"/>
      <c r="I2041" s="714"/>
      <c r="K2041" s="521"/>
      <c r="L2041" s="521"/>
      <c r="M2041" s="521"/>
    </row>
    <row r="2042" spans="1:13" s="17" customFormat="1" ht="16.5" customHeight="1" x14ac:dyDescent="0.25">
      <c r="A2042" s="686"/>
      <c r="B2042" s="686" t="s">
        <v>878</v>
      </c>
      <c r="C2042" s="686"/>
      <c r="D2042" s="686"/>
      <c r="E2042" s="686"/>
      <c r="F2042" s="686"/>
      <c r="G2042" s="686"/>
      <c r="H2042" s="686"/>
      <c r="I2042" s="686"/>
      <c r="K2042" s="696"/>
      <c r="L2042" s="696"/>
      <c r="M2042" s="696"/>
    </row>
    <row r="2043" spans="1:13" s="17" customFormat="1" ht="16.5" customHeight="1" x14ac:dyDescent="0.25">
      <c r="A2043" s="720" t="s">
        <v>879</v>
      </c>
      <c r="B2043" s="720"/>
      <c r="C2043" s="720"/>
      <c r="D2043" s="720"/>
      <c r="E2043" s="720"/>
      <c r="F2043" s="720"/>
      <c r="G2043" s="720"/>
      <c r="H2043" s="720"/>
      <c r="I2043" s="720"/>
      <c r="K2043" s="521"/>
      <c r="L2043" s="521"/>
      <c r="M2043" s="521"/>
    </row>
    <row r="2044" spans="1:13" s="17" customFormat="1" ht="16.5" customHeight="1" x14ac:dyDescent="0.25">
      <c r="A2044" s="720" t="s">
        <v>880</v>
      </c>
      <c r="B2044" s="720"/>
      <c r="C2044" s="720"/>
      <c r="D2044" s="720"/>
      <c r="E2044" s="720"/>
      <c r="F2044" s="720"/>
      <c r="G2044" s="720"/>
      <c r="H2044" s="720"/>
      <c r="I2044" s="720"/>
      <c r="K2044" s="521"/>
      <c r="L2044" s="521"/>
      <c r="M2044" s="521"/>
    </row>
    <row r="2045" spans="1:13" s="17" customFormat="1" ht="16.5" customHeight="1" x14ac:dyDescent="0.25">
      <c r="A2045" s="524"/>
      <c r="B2045" s="524"/>
      <c r="C2045" s="524"/>
      <c r="D2045" s="524"/>
      <c r="E2045" s="524"/>
      <c r="F2045" s="524"/>
      <c r="G2045" s="524"/>
      <c r="H2045" s="524"/>
      <c r="I2045" s="524"/>
      <c r="K2045" s="521"/>
      <c r="L2045" s="521"/>
      <c r="M2045" s="521"/>
    </row>
    <row r="2046" spans="1:13" s="17" customFormat="1" ht="16.5" customHeight="1" x14ac:dyDescent="0.25">
      <c r="A2046" s="524"/>
      <c r="B2046" s="524"/>
      <c r="C2046" s="524"/>
      <c r="D2046" s="524"/>
      <c r="E2046" s="524"/>
      <c r="F2046" s="524"/>
      <c r="G2046" s="524"/>
      <c r="H2046" s="524"/>
      <c r="I2046" s="524"/>
      <c r="K2046" s="521"/>
      <c r="L2046" s="521"/>
      <c r="M2046" s="521"/>
    </row>
    <row r="2047" spans="1:13" s="17" customFormat="1" ht="16.5" customHeight="1" x14ac:dyDescent="0.25">
      <c r="A2047" s="524"/>
      <c r="B2047" s="524"/>
      <c r="C2047" s="524"/>
      <c r="D2047" s="524"/>
      <c r="E2047" s="524"/>
      <c r="F2047" s="524"/>
      <c r="G2047" s="524"/>
      <c r="H2047" s="524"/>
      <c r="I2047" s="524"/>
      <c r="K2047" s="521"/>
      <c r="L2047" s="521"/>
      <c r="M2047" s="521"/>
    </row>
    <row r="2048" spans="1:13" s="17" customFormat="1" ht="16.5" customHeight="1" x14ac:dyDescent="0.25">
      <c r="A2048" s="524"/>
      <c r="B2048" s="524"/>
      <c r="C2048" s="524"/>
      <c r="D2048" s="524"/>
      <c r="E2048" s="524"/>
      <c r="F2048" s="524"/>
      <c r="G2048" s="524"/>
      <c r="H2048" s="524"/>
      <c r="I2048" s="524"/>
      <c r="K2048" s="521"/>
      <c r="L2048" s="521"/>
      <c r="M2048" s="521"/>
    </row>
    <row r="2049" spans="1:13" s="17" customFormat="1" ht="16.5" customHeight="1" x14ac:dyDescent="0.25">
      <c r="A2049" s="540"/>
      <c r="B2049" s="722" t="s">
        <v>351</v>
      </c>
      <c r="C2049" s="722"/>
      <c r="D2049" s="722"/>
      <c r="E2049" s="540"/>
      <c r="F2049" s="540"/>
      <c r="G2049" s="541"/>
      <c r="H2049" s="260"/>
      <c r="I2049" s="245"/>
      <c r="K2049" s="521"/>
      <c r="L2049" s="521"/>
      <c r="M2049" s="521"/>
    </row>
    <row r="2050" spans="1:13" s="17" customFormat="1" ht="16.5" customHeight="1" x14ac:dyDescent="0.25">
      <c r="A2050" s="540"/>
      <c r="B2050" s="540"/>
      <c r="C2050" s="540"/>
      <c r="D2050" s="540"/>
      <c r="E2050" s="540"/>
      <c r="F2050" s="540"/>
      <c r="G2050" s="541"/>
      <c r="H2050" s="260"/>
      <c r="I2050" s="245"/>
      <c r="K2050" s="521"/>
      <c r="L2050" s="521"/>
      <c r="M2050" s="521"/>
    </row>
    <row r="2051" spans="1:13" s="17" customFormat="1" ht="16.5" customHeight="1" x14ac:dyDescent="0.25">
      <c r="A2051" s="756" t="s">
        <v>881</v>
      </c>
      <c r="B2051" s="756"/>
      <c r="C2051" s="756"/>
      <c r="D2051" s="756"/>
      <c r="E2051" s="756"/>
      <c r="F2051" s="756"/>
      <c r="G2051" s="756"/>
      <c r="H2051" s="756"/>
      <c r="I2051" s="756"/>
      <c r="K2051" s="521"/>
      <c r="L2051" s="521"/>
      <c r="M2051" s="521"/>
    </row>
    <row r="2052" spans="1:13" s="17" customFormat="1" ht="16.5" customHeight="1" x14ac:dyDescent="0.25">
      <c r="A2052" s="755" t="s">
        <v>1049</v>
      </c>
      <c r="B2052" s="755"/>
      <c r="C2052" s="755"/>
      <c r="D2052" s="755"/>
      <c r="E2052" s="755"/>
      <c r="F2052" s="755"/>
      <c r="G2052" s="755"/>
      <c r="H2052" s="755"/>
      <c r="I2052" s="755"/>
      <c r="K2052" s="521"/>
      <c r="L2052" s="521"/>
      <c r="M2052" s="521"/>
    </row>
    <row r="2053" spans="1:13" s="17" customFormat="1" ht="16.5" customHeight="1" x14ac:dyDescent="0.25">
      <c r="A2053" s="755" t="s">
        <v>882</v>
      </c>
      <c r="B2053" s="755"/>
      <c r="C2053" s="755"/>
      <c r="D2053" s="755"/>
      <c r="E2053" s="755"/>
      <c r="F2053" s="755"/>
      <c r="G2053" s="755"/>
      <c r="H2053" s="755"/>
      <c r="I2053" s="755"/>
      <c r="K2053" s="521"/>
      <c r="L2053" s="521"/>
      <c r="M2053" s="521"/>
    </row>
    <row r="2054" spans="1:13" s="17" customFormat="1" ht="16.5" customHeight="1" x14ac:dyDescent="0.25">
      <c r="A2054" s="755" t="s">
        <v>883</v>
      </c>
      <c r="B2054" s="755"/>
      <c r="C2054" s="755"/>
      <c r="D2054" s="755"/>
      <c r="E2054" s="755"/>
      <c r="F2054" s="755"/>
      <c r="G2054" s="755"/>
      <c r="H2054" s="755"/>
      <c r="I2054" s="755"/>
      <c r="K2054" s="521"/>
      <c r="L2054" s="521"/>
      <c r="M2054" s="521"/>
    </row>
    <row r="2055" spans="1:13" s="17" customFormat="1" ht="16.5" customHeight="1" x14ac:dyDescent="0.25">
      <c r="A2055" s="755" t="s">
        <v>419</v>
      </c>
      <c r="B2055" s="755"/>
      <c r="C2055" s="755"/>
      <c r="D2055" s="755"/>
      <c r="E2055" s="755"/>
      <c r="F2055" s="755"/>
      <c r="G2055" s="755"/>
      <c r="H2055" s="755"/>
      <c r="I2055" s="755"/>
      <c r="K2055" s="521"/>
      <c r="L2055" s="521"/>
      <c r="M2055" s="521"/>
    </row>
    <row r="2056" spans="1:13" s="17" customFormat="1" ht="16.5" customHeight="1" x14ac:dyDescent="0.25">
      <c r="A2056" s="523"/>
      <c r="B2056" s="523"/>
      <c r="C2056" s="523"/>
      <c r="D2056" s="523"/>
      <c r="E2056" s="701" t="s">
        <v>85</v>
      </c>
      <c r="F2056" s="523"/>
      <c r="G2056" s="523"/>
      <c r="H2056" s="523"/>
      <c r="I2056" s="523"/>
      <c r="K2056" s="521"/>
      <c r="L2056" s="521"/>
      <c r="M2056" s="521"/>
    </row>
    <row r="2057" spans="1:13" s="17" customFormat="1" ht="16.5" customHeight="1" x14ac:dyDescent="0.25">
      <c r="A2057" s="192"/>
      <c r="B2057" s="214"/>
      <c r="C2057" s="15"/>
      <c r="D2057" s="537"/>
      <c r="E2057" s="701"/>
      <c r="F2057" s="537"/>
      <c r="G2057" s="192"/>
      <c r="H2057" s="537"/>
      <c r="I2057" s="537"/>
      <c r="K2057" s="521"/>
      <c r="L2057" s="521"/>
      <c r="M2057" s="521"/>
    </row>
    <row r="2058" spans="1:13" s="17" customFormat="1" ht="16.5" customHeight="1" x14ac:dyDescent="0.25">
      <c r="A2058" s="557" t="s">
        <v>48</v>
      </c>
      <c r="B2058" s="702" t="s">
        <v>49</v>
      </c>
      <c r="C2058" s="703"/>
      <c r="D2058" s="380" t="s">
        <v>86</v>
      </c>
      <c r="E2058" s="530" t="s">
        <v>321</v>
      </c>
      <c r="F2058" s="40" t="s">
        <v>87</v>
      </c>
      <c r="G2058" s="706" t="s">
        <v>52</v>
      </c>
      <c r="H2058" s="707"/>
      <c r="I2058" s="708" t="s">
        <v>53</v>
      </c>
      <c r="K2058" s="521"/>
      <c r="L2058" s="521"/>
      <c r="M2058" s="521"/>
    </row>
    <row r="2059" spans="1:13" s="17" customFormat="1" ht="16.5" customHeight="1" x14ac:dyDescent="0.25">
      <c r="A2059" s="574" t="s">
        <v>88</v>
      </c>
      <c r="B2059" s="704"/>
      <c r="C2059" s="705"/>
      <c r="D2059" s="381" t="s">
        <v>541</v>
      </c>
      <c r="E2059" s="41" t="s">
        <v>573</v>
      </c>
      <c r="F2059" s="41" t="s">
        <v>607</v>
      </c>
      <c r="G2059" s="24" t="s">
        <v>55</v>
      </c>
      <c r="H2059" s="24" t="s">
        <v>56</v>
      </c>
      <c r="I2059" s="709"/>
      <c r="K2059" s="521"/>
      <c r="L2059" s="521"/>
      <c r="M2059" s="521"/>
    </row>
    <row r="2060" spans="1:13" s="17" customFormat="1" ht="16.5" customHeight="1" x14ac:dyDescent="0.25">
      <c r="A2060" s="304">
        <v>1</v>
      </c>
      <c r="B2060" s="710">
        <v>2</v>
      </c>
      <c r="C2060" s="711"/>
      <c r="D2060" s="513">
        <v>3</v>
      </c>
      <c r="E2060" s="129">
        <v>4</v>
      </c>
      <c r="F2060" s="129">
        <v>5</v>
      </c>
      <c r="G2060" s="129">
        <v>6</v>
      </c>
      <c r="H2060" s="129">
        <v>7</v>
      </c>
      <c r="I2060" s="142">
        <v>8</v>
      </c>
      <c r="K2060" s="521"/>
      <c r="L2060" s="521"/>
      <c r="M2060" s="521"/>
    </row>
    <row r="2061" spans="1:13" s="17" customFormat="1" ht="16.5" customHeight="1" x14ac:dyDescent="0.25">
      <c r="A2061" s="305">
        <v>50011</v>
      </c>
      <c r="B2061" s="712" t="s">
        <v>130</v>
      </c>
      <c r="C2061" s="713"/>
      <c r="D2061" s="102">
        <f t="shared" ref="D2061:F2066" si="170">D318</f>
        <v>106675</v>
      </c>
      <c r="E2061" s="289">
        <f t="shared" si="170"/>
        <v>120000</v>
      </c>
      <c r="F2061" s="102">
        <f t="shared" si="170"/>
        <v>109200</v>
      </c>
      <c r="G2061" s="86">
        <f t="shared" ref="G2061:G2067" si="171">F2061/D2061</f>
        <v>1.0236700257792359</v>
      </c>
      <c r="H2061" s="87">
        <f t="shared" ref="H2061:H2067" si="172">F2061/E2061</f>
        <v>0.91</v>
      </c>
      <c r="I2061" s="87">
        <f>F2061/F2067</f>
        <v>0.3965890436829031</v>
      </c>
      <c r="K2061" s="521"/>
      <c r="L2061" s="521"/>
      <c r="M2061" s="521"/>
    </row>
    <row r="2062" spans="1:13" s="17" customFormat="1" ht="16.5" customHeight="1" x14ac:dyDescent="0.25">
      <c r="A2062" s="305">
        <v>50019</v>
      </c>
      <c r="B2062" s="712" t="s">
        <v>95</v>
      </c>
      <c r="C2062" s="713"/>
      <c r="D2062" s="102">
        <f t="shared" si="170"/>
        <v>4034</v>
      </c>
      <c r="E2062" s="289">
        <f t="shared" si="170"/>
        <v>0</v>
      </c>
      <c r="F2062" s="102">
        <f t="shared" si="170"/>
        <v>11936</v>
      </c>
      <c r="G2062" s="86">
        <f t="shared" si="171"/>
        <v>2.9588497768963808</v>
      </c>
      <c r="H2062" s="87" t="e">
        <f t="shared" si="172"/>
        <v>#DIV/0!</v>
      </c>
      <c r="I2062" s="87">
        <f>F2062/F2067</f>
        <v>4.3348780452372997E-2</v>
      </c>
      <c r="K2062" s="521"/>
      <c r="L2062" s="521"/>
      <c r="M2062" s="521"/>
    </row>
    <row r="2063" spans="1:13" s="17" customFormat="1" ht="16.5" customHeight="1" x14ac:dyDescent="0.25">
      <c r="A2063" s="305">
        <v>50032</v>
      </c>
      <c r="B2063" s="712" t="s">
        <v>528</v>
      </c>
      <c r="C2063" s="713"/>
      <c r="D2063" s="102">
        <f t="shared" si="170"/>
        <v>106046.5</v>
      </c>
      <c r="E2063" s="289">
        <f t="shared" si="170"/>
        <v>125000</v>
      </c>
      <c r="F2063" s="102">
        <f t="shared" si="170"/>
        <v>84572</v>
      </c>
      <c r="G2063" s="86">
        <f t="shared" si="171"/>
        <v>0.79749921025210635</v>
      </c>
      <c r="H2063" s="87">
        <f t="shared" si="172"/>
        <v>0.67657599999999996</v>
      </c>
      <c r="I2063" s="87">
        <f>F2063/F2067</f>
        <v>0.30714586632189084</v>
      </c>
      <c r="K2063" s="521"/>
      <c r="L2063" s="521"/>
      <c r="M2063" s="521"/>
    </row>
    <row r="2064" spans="1:13" s="17" customFormat="1" ht="16.5" customHeight="1" x14ac:dyDescent="0.25">
      <c r="A2064" s="305">
        <v>50409</v>
      </c>
      <c r="B2064" s="514" t="s">
        <v>498</v>
      </c>
      <c r="C2064" s="515"/>
      <c r="D2064" s="102">
        <f t="shared" si="170"/>
        <v>0</v>
      </c>
      <c r="E2064" s="289">
        <f t="shared" si="170"/>
        <v>0</v>
      </c>
      <c r="F2064" s="102">
        <f t="shared" si="170"/>
        <v>0</v>
      </c>
      <c r="G2064" s="86" t="e">
        <f>F2064/D2064</f>
        <v>#DIV/0!</v>
      </c>
      <c r="H2064" s="87" t="e">
        <f>F2064/E2064</f>
        <v>#DIV/0!</v>
      </c>
      <c r="I2064" s="87">
        <f>F2064/F2067</f>
        <v>0</v>
      </c>
      <c r="K2064" s="521"/>
      <c r="L2064" s="521"/>
      <c r="M2064" s="521"/>
    </row>
    <row r="2065" spans="1:13" s="17" customFormat="1" ht="16.5" customHeight="1" x14ac:dyDescent="0.25">
      <c r="A2065" s="230">
        <v>50460</v>
      </c>
      <c r="B2065" s="753" t="s">
        <v>131</v>
      </c>
      <c r="C2065" s="754"/>
      <c r="D2065" s="102">
        <f t="shared" si="170"/>
        <v>14008.33</v>
      </c>
      <c r="E2065" s="289">
        <f t="shared" si="170"/>
        <v>15000</v>
      </c>
      <c r="F2065" s="102">
        <f t="shared" si="170"/>
        <v>17320</v>
      </c>
      <c r="G2065" s="86">
        <f t="shared" si="171"/>
        <v>1.2364071948619144</v>
      </c>
      <c r="H2065" s="87">
        <f t="shared" si="172"/>
        <v>1.1546666666666667</v>
      </c>
      <c r="I2065" s="87">
        <f>F2065/F2067</f>
        <v>6.2902218283771807E-2</v>
      </c>
      <c r="K2065" s="521"/>
      <c r="L2065" s="521"/>
      <c r="M2065" s="521"/>
    </row>
    <row r="2066" spans="1:13" s="17" customFormat="1" ht="16.5" customHeight="1" x14ac:dyDescent="0.25">
      <c r="A2066" s="305">
        <v>50504</v>
      </c>
      <c r="B2066" s="712" t="s">
        <v>132</v>
      </c>
      <c r="C2066" s="713"/>
      <c r="D2066" s="102">
        <f t="shared" si="170"/>
        <v>85354.5</v>
      </c>
      <c r="E2066" s="289">
        <f t="shared" si="170"/>
        <v>110000</v>
      </c>
      <c r="F2066" s="102">
        <f t="shared" si="170"/>
        <v>52320</v>
      </c>
      <c r="G2066" s="86">
        <f t="shared" si="171"/>
        <v>0.61297295397430718</v>
      </c>
      <c r="H2066" s="87">
        <f t="shared" si="172"/>
        <v>0.47563636363636363</v>
      </c>
      <c r="I2066" s="87">
        <f>F2066/F2067</f>
        <v>0.19001409125906127</v>
      </c>
      <c r="K2066" s="521"/>
      <c r="L2066" s="521"/>
      <c r="M2066" s="521"/>
    </row>
    <row r="2067" spans="1:13" s="17" customFormat="1" ht="16.5" customHeight="1" x14ac:dyDescent="0.25">
      <c r="A2067" s="220"/>
      <c r="B2067" s="718" t="s">
        <v>333</v>
      </c>
      <c r="C2067" s="719"/>
      <c r="D2067" s="475">
        <f>D2061+D2062+D2063+D2064+D2065+D2066</f>
        <v>316118.32999999996</v>
      </c>
      <c r="E2067" s="475">
        <f>E2061+E2062+E2063+E2064+E2065+E2066</f>
        <v>370000</v>
      </c>
      <c r="F2067" s="475">
        <f>F2061+F2062+F2063+F2064+F2065+F2066</f>
        <v>275348</v>
      </c>
      <c r="G2067" s="169">
        <f t="shared" si="171"/>
        <v>0.87102826337213679</v>
      </c>
      <c r="H2067" s="148">
        <f t="shared" si="172"/>
        <v>0.7441837837837838</v>
      </c>
      <c r="I2067" s="137">
        <f>SUM(I2061:I2066)</f>
        <v>1</v>
      </c>
      <c r="K2067" s="521"/>
      <c r="L2067" s="521"/>
      <c r="M2067" s="521"/>
    </row>
    <row r="2068" spans="1:13" s="17" customFormat="1" ht="16.5" customHeight="1" x14ac:dyDescent="0.25">
      <c r="A2068" s="242"/>
      <c r="B2068" s="242"/>
      <c r="C2068" s="242"/>
      <c r="D2068" s="242"/>
      <c r="E2068" s="242"/>
      <c r="F2068" s="242"/>
      <c r="G2068" s="242"/>
      <c r="H2068" s="242"/>
      <c r="I2068" s="242"/>
      <c r="K2068" s="521"/>
      <c r="L2068" s="521"/>
      <c r="M2068" s="521"/>
    </row>
    <row r="2069" spans="1:13" s="17" customFormat="1" ht="16.5" customHeight="1" x14ac:dyDescent="0.25">
      <c r="A2069" s="748" t="s">
        <v>884</v>
      </c>
      <c r="B2069" s="748"/>
      <c r="C2069" s="748"/>
      <c r="D2069" s="748"/>
      <c r="E2069" s="748"/>
      <c r="F2069" s="748"/>
      <c r="G2069" s="748"/>
      <c r="H2069" s="748"/>
      <c r="I2069" s="748"/>
      <c r="K2069" s="521"/>
      <c r="L2069" s="521"/>
      <c r="M2069" s="521"/>
    </row>
    <row r="2070" spans="1:13" s="17" customFormat="1" ht="16.5" customHeight="1" x14ac:dyDescent="0.25">
      <c r="A2070" s="748" t="s">
        <v>885</v>
      </c>
      <c r="B2070" s="748"/>
      <c r="C2070" s="748"/>
      <c r="D2070" s="748"/>
      <c r="E2070" s="748"/>
      <c r="F2070" s="748"/>
      <c r="G2070" s="748"/>
      <c r="H2070" s="748"/>
      <c r="I2070" s="748"/>
      <c r="K2070" s="521"/>
      <c r="L2070" s="521"/>
      <c r="M2070" s="521"/>
    </row>
    <row r="2071" spans="1:13" s="17" customFormat="1" ht="16.5" customHeight="1" x14ac:dyDescent="0.25">
      <c r="A2071" s="748" t="s">
        <v>886</v>
      </c>
      <c r="B2071" s="748"/>
      <c r="C2071" s="748"/>
      <c r="D2071" s="748"/>
      <c r="E2071" s="748"/>
      <c r="F2071" s="748"/>
      <c r="G2071" s="748"/>
      <c r="H2071" s="748"/>
      <c r="I2071" s="748"/>
      <c r="K2071" s="521"/>
      <c r="L2071" s="521"/>
      <c r="M2071" s="521"/>
    </row>
    <row r="2072" spans="1:13" s="17" customFormat="1" ht="16.5" customHeight="1" x14ac:dyDescent="0.25">
      <c r="A2072" s="748" t="s">
        <v>887</v>
      </c>
      <c r="B2072" s="748"/>
      <c r="C2072" s="748"/>
      <c r="D2072" s="748"/>
      <c r="E2072" s="748"/>
      <c r="F2072" s="748"/>
      <c r="G2072" s="748"/>
      <c r="H2072" s="748"/>
      <c r="I2072" s="748"/>
      <c r="K2072" s="521"/>
      <c r="L2072" s="521"/>
      <c r="M2072" s="521"/>
    </row>
    <row r="2073" spans="1:13" s="17" customFormat="1" ht="16.5" customHeight="1" x14ac:dyDescent="0.25">
      <c r="A2073" s="595"/>
      <c r="B2073" s="490" t="s">
        <v>888</v>
      </c>
      <c r="C2073" s="595"/>
      <c r="D2073" s="595"/>
      <c r="E2073" s="595"/>
      <c r="F2073" s="595"/>
      <c r="G2073" s="595"/>
      <c r="H2073" s="595"/>
      <c r="I2073" s="595"/>
      <c r="K2073" s="596"/>
      <c r="L2073" s="596"/>
      <c r="M2073" s="596"/>
    </row>
    <row r="2074" spans="1:13" s="17" customFormat="1" ht="16.5" customHeight="1" x14ac:dyDescent="0.25">
      <c r="A2074" s="748" t="s">
        <v>889</v>
      </c>
      <c r="B2074" s="748"/>
      <c r="C2074" s="748"/>
      <c r="D2074" s="748"/>
      <c r="E2074" s="748"/>
      <c r="F2074" s="748"/>
      <c r="G2074" s="748"/>
      <c r="H2074" s="748"/>
      <c r="I2074" s="748"/>
      <c r="K2074" s="521"/>
      <c r="L2074" s="521"/>
      <c r="M2074" s="521"/>
    </row>
    <row r="2075" spans="1:13" s="17" customFormat="1" ht="16.5" customHeight="1" x14ac:dyDescent="0.25">
      <c r="A2075" s="550" t="s">
        <v>190</v>
      </c>
      <c r="B2075" s="742" t="s">
        <v>890</v>
      </c>
      <c r="C2075" s="742"/>
      <c r="D2075" s="742"/>
      <c r="E2075" s="742"/>
      <c r="F2075" s="742"/>
      <c r="G2075" s="742"/>
      <c r="H2075" s="742"/>
      <c r="I2075" s="742"/>
      <c r="K2075" s="521"/>
      <c r="L2075" s="521"/>
      <c r="M2075" s="521"/>
    </row>
    <row r="2076" spans="1:13" s="17" customFormat="1" ht="16.5" customHeight="1" x14ac:dyDescent="0.25">
      <c r="A2076" s="742" t="s">
        <v>891</v>
      </c>
      <c r="B2076" s="742"/>
      <c r="C2076" s="742"/>
      <c r="D2076" s="742"/>
      <c r="E2076" s="742"/>
      <c r="F2076" s="742"/>
      <c r="G2076" s="742"/>
      <c r="H2076" s="742"/>
      <c r="I2076" s="742"/>
      <c r="K2076" s="521"/>
      <c r="L2076" s="521"/>
      <c r="M2076" s="521"/>
    </row>
    <row r="2077" spans="1:13" s="17" customFormat="1" ht="16.5" customHeight="1" x14ac:dyDescent="0.25">
      <c r="A2077" s="527"/>
      <c r="B2077" s="527"/>
      <c r="C2077" s="527"/>
      <c r="D2077" s="527"/>
      <c r="E2077" s="527"/>
      <c r="F2077" s="527"/>
      <c r="G2077" s="527"/>
      <c r="H2077" s="527"/>
      <c r="I2077" s="401"/>
      <c r="K2077" s="521"/>
      <c r="L2077" s="521"/>
      <c r="M2077" s="521"/>
    </row>
    <row r="2078" spans="1:13" s="17" customFormat="1" ht="16.5" customHeight="1" x14ac:dyDescent="0.25">
      <c r="A2078" s="690"/>
      <c r="B2078" s="690"/>
      <c r="C2078" s="690"/>
      <c r="D2078" s="690"/>
      <c r="E2078" s="690"/>
      <c r="F2078" s="690"/>
      <c r="G2078" s="690"/>
      <c r="H2078" s="690"/>
      <c r="I2078" s="401"/>
      <c r="K2078" s="696"/>
      <c r="L2078" s="696"/>
      <c r="M2078" s="696"/>
    </row>
    <row r="2079" spans="1:13" s="17" customFormat="1" ht="16.5" customHeight="1" x14ac:dyDescent="0.25">
      <c r="A2079" s="690"/>
      <c r="B2079" s="690"/>
      <c r="C2079" s="690"/>
      <c r="D2079" s="690"/>
      <c r="E2079" s="690"/>
      <c r="F2079" s="690"/>
      <c r="G2079" s="690"/>
      <c r="H2079" s="690"/>
      <c r="I2079" s="401"/>
      <c r="K2079" s="696"/>
      <c r="L2079" s="696"/>
      <c r="M2079" s="696"/>
    </row>
    <row r="2080" spans="1:13" s="17" customFormat="1" ht="16.5" customHeight="1" x14ac:dyDescent="0.25">
      <c r="A2080" s="242"/>
      <c r="B2080" s="242"/>
      <c r="C2080" s="242"/>
      <c r="D2080" s="242"/>
      <c r="E2080" s="242"/>
      <c r="F2080" s="242"/>
      <c r="G2080" s="242"/>
      <c r="H2080" s="242"/>
      <c r="I2080" s="259">
        <v>34</v>
      </c>
      <c r="K2080" s="521"/>
      <c r="L2080" s="521"/>
      <c r="M2080" s="521"/>
    </row>
    <row r="2081" spans="1:14" s="17" customFormat="1" ht="16.5" customHeight="1" x14ac:dyDescent="0.25">
      <c r="A2081" s="242"/>
      <c r="B2081" s="242"/>
      <c r="C2081" s="242"/>
      <c r="D2081" s="242"/>
      <c r="E2081" s="242"/>
      <c r="F2081" s="242"/>
      <c r="G2081" s="242"/>
      <c r="H2081" s="242"/>
      <c r="I2081" s="259"/>
      <c r="K2081" s="696"/>
      <c r="L2081" s="696"/>
      <c r="M2081" s="696"/>
    </row>
    <row r="2082" spans="1:14" s="17" customFormat="1" ht="16.5" customHeight="1" x14ac:dyDescent="0.25">
      <c r="A2082" s="242"/>
      <c r="B2082" s="242"/>
      <c r="C2082" s="242"/>
      <c r="D2082" s="242"/>
      <c r="E2082" s="242"/>
      <c r="F2082" s="242"/>
      <c r="G2082" s="242"/>
      <c r="H2082" s="242"/>
      <c r="I2082" s="259"/>
      <c r="K2082" s="696"/>
      <c r="L2082" s="696"/>
      <c r="M2082" s="696"/>
    </row>
    <row r="2083" spans="1:14" s="17" customFormat="1" ht="16.5" customHeight="1" x14ac:dyDescent="0.25">
      <c r="A2083" s="242"/>
      <c r="B2083" s="575" t="s">
        <v>505</v>
      </c>
      <c r="C2083" s="575"/>
      <c r="D2083" s="575"/>
      <c r="H2083" s="242"/>
      <c r="I2083" s="242"/>
      <c r="K2083" s="521"/>
      <c r="L2083" s="521"/>
      <c r="M2083" s="521"/>
    </row>
    <row r="2084" spans="1:14" s="17" customFormat="1" ht="16.5" customHeight="1" x14ac:dyDescent="0.25">
      <c r="A2084" s="523"/>
      <c r="B2084" s="523"/>
      <c r="C2084" s="523"/>
      <c r="D2084" s="523"/>
      <c r="E2084" s="701" t="s">
        <v>85</v>
      </c>
      <c r="F2084" s="523"/>
      <c r="G2084" s="523"/>
      <c r="H2084" s="523"/>
      <c r="I2084" s="523"/>
      <c r="K2084" s="521"/>
      <c r="L2084" s="521"/>
      <c r="M2084" s="521"/>
    </row>
    <row r="2085" spans="1:14" s="17" customFormat="1" ht="16.5" customHeight="1" x14ac:dyDescent="0.25">
      <c r="A2085" s="192"/>
      <c r="B2085" s="214"/>
      <c r="C2085" s="15"/>
      <c r="D2085" s="537"/>
      <c r="E2085" s="701"/>
      <c r="F2085" s="537"/>
      <c r="G2085" s="192"/>
      <c r="H2085" s="537"/>
      <c r="I2085" s="537"/>
      <c r="K2085" s="521"/>
      <c r="L2085" s="521"/>
      <c r="M2085" s="521"/>
    </row>
    <row r="2086" spans="1:14" s="17" customFormat="1" ht="16.5" customHeight="1" x14ac:dyDescent="0.25">
      <c r="A2086" s="557" t="s">
        <v>48</v>
      </c>
      <c r="B2086" s="702" t="s">
        <v>49</v>
      </c>
      <c r="C2086" s="703"/>
      <c r="D2086" s="380" t="s">
        <v>86</v>
      </c>
      <c r="E2086" s="530" t="s">
        <v>152</v>
      </c>
      <c r="F2086" s="40" t="s">
        <v>87</v>
      </c>
      <c r="G2086" s="706" t="s">
        <v>52</v>
      </c>
      <c r="H2086" s="707"/>
      <c r="I2086" s="708" t="s">
        <v>53</v>
      </c>
      <c r="K2086" s="521"/>
      <c r="L2086" s="521"/>
      <c r="M2086" s="521"/>
    </row>
    <row r="2087" spans="1:14" s="17" customFormat="1" ht="16.5" customHeight="1" x14ac:dyDescent="0.25">
      <c r="A2087" s="574" t="s">
        <v>88</v>
      </c>
      <c r="B2087" s="704"/>
      <c r="C2087" s="705"/>
      <c r="D2087" s="381" t="s">
        <v>541</v>
      </c>
      <c r="E2087" s="41" t="s">
        <v>573</v>
      </c>
      <c r="F2087" s="41" t="s">
        <v>607</v>
      </c>
      <c r="G2087" s="24" t="s">
        <v>55</v>
      </c>
      <c r="H2087" s="24" t="s">
        <v>56</v>
      </c>
      <c r="I2087" s="709"/>
      <c r="K2087" s="521"/>
      <c r="L2087" s="521"/>
      <c r="M2087" s="521"/>
    </row>
    <row r="2088" spans="1:14" s="17" customFormat="1" ht="16.5" customHeight="1" x14ac:dyDescent="0.25">
      <c r="A2088" s="142">
        <v>1</v>
      </c>
      <c r="B2088" s="710">
        <v>2</v>
      </c>
      <c r="C2088" s="711"/>
      <c r="D2088" s="513">
        <v>3</v>
      </c>
      <c r="E2088" s="129">
        <v>4</v>
      </c>
      <c r="F2088" s="129">
        <v>5</v>
      </c>
      <c r="G2088" s="129">
        <v>6</v>
      </c>
      <c r="H2088" s="129">
        <v>7</v>
      </c>
      <c r="I2088" s="142">
        <v>8</v>
      </c>
      <c r="K2088" s="521"/>
      <c r="L2088" s="521"/>
      <c r="M2088" s="521"/>
    </row>
    <row r="2089" spans="1:14" s="17" customFormat="1" ht="16.5" customHeight="1" x14ac:dyDescent="0.25">
      <c r="A2089" s="81">
        <v>111</v>
      </c>
      <c r="B2089" s="716" t="s">
        <v>184</v>
      </c>
      <c r="C2089" s="717"/>
      <c r="D2089" s="5">
        <f>D674</f>
        <v>96201.22</v>
      </c>
      <c r="E2089" s="5">
        <f>E674</f>
        <v>142200.13</v>
      </c>
      <c r="F2089" s="5">
        <f>F674</f>
        <v>100091.76</v>
      </c>
      <c r="G2089" s="86">
        <f t="shared" ref="G2089:G2094" si="173">F2089/D2089</f>
        <v>1.0404416908642113</v>
      </c>
      <c r="H2089" s="87">
        <f t="shared" ref="H2089:H2094" si="174">F2089/E2089</f>
        <v>0.70387952528594733</v>
      </c>
      <c r="I2089" s="87">
        <f>F2089/F2094</f>
        <v>0.96889119230569298</v>
      </c>
      <c r="K2089" s="521"/>
      <c r="L2089" s="521"/>
      <c r="M2089" s="521"/>
    </row>
    <row r="2090" spans="1:14" s="17" customFormat="1" ht="16.5" customHeight="1" x14ac:dyDescent="0.25">
      <c r="A2090" s="81">
        <v>130</v>
      </c>
      <c r="B2090" s="716" t="s">
        <v>185</v>
      </c>
      <c r="C2090" s="717"/>
      <c r="D2090" s="434">
        <f>D884</f>
        <v>2642.84</v>
      </c>
      <c r="E2090" s="266">
        <f>E884</f>
        <v>6000</v>
      </c>
      <c r="F2090" s="434">
        <f>F884</f>
        <v>3213.71</v>
      </c>
      <c r="G2090" s="86">
        <f t="shared" si="173"/>
        <v>1.2160062659865902</v>
      </c>
      <c r="H2090" s="87">
        <f t="shared" si="174"/>
        <v>0.53561833333333331</v>
      </c>
      <c r="I2090" s="87">
        <f>F2090/F2094</f>
        <v>3.1108807694306989E-2</v>
      </c>
      <c r="K2090" s="521"/>
      <c r="L2090" s="521"/>
      <c r="M2090" s="521"/>
      <c r="N2090" s="521"/>
    </row>
    <row r="2091" spans="1:14" s="17" customFormat="1" ht="16.5" customHeight="1" x14ac:dyDescent="0.25">
      <c r="A2091" s="81">
        <v>132</v>
      </c>
      <c r="B2091" s="716" t="s">
        <v>186</v>
      </c>
      <c r="C2091" s="717"/>
      <c r="D2091" s="5">
        <v>0</v>
      </c>
      <c r="E2091" s="145">
        <f>0+0+0+0+0+0</f>
        <v>0</v>
      </c>
      <c r="F2091" s="5">
        <v>0</v>
      </c>
      <c r="G2091" s="86" t="e">
        <f t="shared" si="173"/>
        <v>#DIV/0!</v>
      </c>
      <c r="H2091" s="87" t="e">
        <f t="shared" si="174"/>
        <v>#DIV/0!</v>
      </c>
      <c r="I2091" s="87">
        <f>F2091/F2094</f>
        <v>0</v>
      </c>
      <c r="K2091" s="521"/>
      <c r="L2091" s="521"/>
      <c r="M2091" s="521"/>
      <c r="N2091" s="521"/>
    </row>
    <row r="2092" spans="1:14" s="17" customFormat="1" ht="16.5" customHeight="1" x14ac:dyDescent="0.25">
      <c r="A2092" s="81">
        <v>200</v>
      </c>
      <c r="B2092" s="716" t="s">
        <v>187</v>
      </c>
      <c r="C2092" s="717"/>
      <c r="D2092" s="5">
        <v>0</v>
      </c>
      <c r="E2092" s="156">
        <f>0+0+0+0+0+0</f>
        <v>0</v>
      </c>
      <c r="F2092" s="5">
        <v>0</v>
      </c>
      <c r="G2092" s="86" t="e">
        <f t="shared" si="173"/>
        <v>#DIV/0!</v>
      </c>
      <c r="H2092" s="87" t="e">
        <f t="shared" si="174"/>
        <v>#DIV/0!</v>
      </c>
      <c r="I2092" s="87">
        <f>F2092/F2094</f>
        <v>0</v>
      </c>
      <c r="K2092" s="521"/>
      <c r="L2092" s="521"/>
      <c r="M2092" s="521"/>
      <c r="N2092" s="521"/>
    </row>
    <row r="2093" spans="1:14" s="17" customFormat="1" ht="16.5" customHeight="1" x14ac:dyDescent="0.25">
      <c r="A2093" s="81">
        <v>300</v>
      </c>
      <c r="B2093" s="716" t="s">
        <v>188</v>
      </c>
      <c r="C2093" s="717"/>
      <c r="D2093" s="5">
        <v>0</v>
      </c>
      <c r="E2093" s="5">
        <f>0+0+0+0+0+0</f>
        <v>0</v>
      </c>
      <c r="F2093" s="5">
        <v>0</v>
      </c>
      <c r="G2093" s="86" t="e">
        <f t="shared" si="173"/>
        <v>#DIV/0!</v>
      </c>
      <c r="H2093" s="87" t="e">
        <f t="shared" si="174"/>
        <v>#DIV/0!</v>
      </c>
      <c r="I2093" s="87">
        <f>F2093/F2094</f>
        <v>0</v>
      </c>
      <c r="K2093" s="521"/>
      <c r="L2093" s="521"/>
      <c r="M2093" s="521"/>
      <c r="N2093" s="521"/>
    </row>
    <row r="2094" spans="1:14" s="17" customFormat="1" ht="16.5" customHeight="1" x14ac:dyDescent="0.25">
      <c r="A2094" s="146"/>
      <c r="B2094" s="718" t="s">
        <v>84</v>
      </c>
      <c r="C2094" s="719"/>
      <c r="D2094" s="465">
        <f>D2089+D2090+D2091+D2092+D2093</f>
        <v>98844.06</v>
      </c>
      <c r="E2094" s="465">
        <f>E2089+E2090+E2091+E2092+E2093</f>
        <v>148200.13</v>
      </c>
      <c r="F2094" s="465">
        <f>F2089+F2090+F2091+F2092+F2093</f>
        <v>103305.47</v>
      </c>
      <c r="G2094" s="148">
        <f t="shared" si="173"/>
        <v>1.0451358432666567</v>
      </c>
      <c r="H2094" s="137">
        <f t="shared" si="174"/>
        <v>0.69706733725537218</v>
      </c>
      <c r="I2094" s="174">
        <f>SUM(I2089:I2093)</f>
        <v>1</v>
      </c>
      <c r="K2094" s="521"/>
      <c r="L2094" s="521"/>
      <c r="M2094" s="521"/>
      <c r="N2094" s="517"/>
    </row>
    <row r="2095" spans="1:14" s="17" customFormat="1" ht="16.5" customHeight="1" x14ac:dyDescent="0.25">
      <c r="A2095" s="170"/>
      <c r="B2095" s="542"/>
      <c r="C2095" s="542"/>
      <c r="D2095" s="291"/>
      <c r="E2095" s="291"/>
      <c r="F2095" s="291"/>
      <c r="G2095" s="190"/>
      <c r="H2095" s="191"/>
      <c r="I2095" s="410"/>
      <c r="K2095" s="521"/>
      <c r="L2095" s="521"/>
      <c r="M2095" s="521"/>
      <c r="N2095" s="517"/>
    </row>
    <row r="2096" spans="1:14" s="17" customFormat="1" ht="16.5" customHeight="1" x14ac:dyDescent="0.25">
      <c r="A2096" s="576"/>
      <c r="B2096" s="715" t="s">
        <v>892</v>
      </c>
      <c r="C2096" s="715"/>
      <c r="D2096" s="715"/>
      <c r="E2096" s="715"/>
      <c r="F2096" s="715"/>
      <c r="G2096" s="715"/>
      <c r="H2096" s="715"/>
      <c r="I2096" s="715"/>
      <c r="K2096" s="521"/>
      <c r="L2096" s="521"/>
      <c r="M2096" s="521"/>
      <c r="N2096" s="517"/>
    </row>
    <row r="2097" spans="1:14" s="17" customFormat="1" ht="16.5" customHeight="1" x14ac:dyDescent="0.25">
      <c r="A2097" s="715" t="s">
        <v>893</v>
      </c>
      <c r="B2097" s="715"/>
      <c r="C2097" s="715"/>
      <c r="D2097" s="715"/>
      <c r="E2097" s="715"/>
      <c r="F2097" s="715"/>
      <c r="G2097" s="715"/>
      <c r="H2097" s="715"/>
      <c r="I2097" s="715"/>
      <c r="K2097" s="521"/>
      <c r="L2097" s="521"/>
      <c r="M2097" s="521"/>
      <c r="N2097" s="517"/>
    </row>
    <row r="2098" spans="1:14" s="17" customFormat="1" ht="16.5" customHeight="1" x14ac:dyDescent="0.25">
      <c r="A2098" s="752" t="s">
        <v>894</v>
      </c>
      <c r="B2098" s="752"/>
      <c r="C2098" s="752"/>
      <c r="D2098" s="752"/>
      <c r="E2098" s="752"/>
      <c r="F2098" s="752"/>
      <c r="G2098" s="752"/>
      <c r="H2098" s="752"/>
      <c r="I2098" s="752"/>
      <c r="K2098" s="521"/>
      <c r="L2098" s="521"/>
      <c r="M2098" s="521"/>
      <c r="N2098" s="517"/>
    </row>
    <row r="2099" spans="1:14" s="17" customFormat="1" ht="16.5" customHeight="1" x14ac:dyDescent="0.25">
      <c r="A2099" s="714" t="s">
        <v>895</v>
      </c>
      <c r="B2099" s="714"/>
      <c r="C2099" s="714"/>
      <c r="D2099" s="714"/>
      <c r="E2099" s="714"/>
      <c r="F2099" s="714"/>
      <c r="G2099" s="714"/>
      <c r="H2099" s="714"/>
      <c r="I2099" s="714"/>
      <c r="K2099" s="521"/>
      <c r="L2099" s="521"/>
      <c r="M2099" s="521"/>
      <c r="N2099" s="517"/>
    </row>
    <row r="2100" spans="1:14" s="17" customFormat="1" ht="16.5" customHeight="1" x14ac:dyDescent="0.2">
      <c r="A2100" s="714" t="s">
        <v>896</v>
      </c>
      <c r="B2100" s="714"/>
      <c r="C2100" s="714"/>
      <c r="D2100" s="714"/>
      <c r="E2100" s="714"/>
      <c r="F2100" s="714"/>
      <c r="G2100" s="714"/>
      <c r="H2100" s="714"/>
      <c r="I2100" s="714"/>
    </row>
    <row r="2101" spans="1:14" s="17" customFormat="1" ht="16.5" customHeight="1" x14ac:dyDescent="0.2">
      <c r="A2101" s="714" t="s">
        <v>897</v>
      </c>
      <c r="B2101" s="714"/>
      <c r="C2101" s="714"/>
      <c r="D2101" s="714"/>
      <c r="E2101" s="714"/>
      <c r="F2101" s="714"/>
      <c r="G2101" s="714"/>
      <c r="H2101" s="714"/>
      <c r="I2101" s="714"/>
    </row>
    <row r="2102" spans="1:14" s="17" customFormat="1" ht="16.5" customHeight="1" x14ac:dyDescent="0.2">
      <c r="A2102" s="714" t="s">
        <v>898</v>
      </c>
      <c r="B2102" s="714"/>
      <c r="C2102" s="714"/>
      <c r="D2102" s="714"/>
      <c r="E2102" s="714"/>
      <c r="F2102" s="714"/>
      <c r="G2102" s="714"/>
      <c r="H2102" s="714"/>
      <c r="I2102" s="714"/>
    </row>
    <row r="2103" spans="1:14" s="17" customFormat="1" ht="16.5" customHeight="1" x14ac:dyDescent="0.2">
      <c r="A2103" s="686"/>
      <c r="B2103" s="686"/>
      <c r="C2103" s="686"/>
      <c r="D2103" s="686"/>
      <c r="E2103" s="686"/>
      <c r="F2103" s="686"/>
      <c r="G2103" s="686"/>
      <c r="H2103" s="686"/>
      <c r="I2103" s="686"/>
    </row>
    <row r="2104" spans="1:14" s="17" customFormat="1" ht="16.5" customHeight="1" x14ac:dyDescent="0.2">
      <c r="A2104" s="686"/>
      <c r="B2104" s="686"/>
      <c r="C2104" s="686"/>
      <c r="D2104" s="686"/>
      <c r="E2104" s="686"/>
      <c r="F2104" s="686"/>
      <c r="G2104" s="686"/>
      <c r="H2104" s="686"/>
      <c r="I2104" s="686"/>
    </row>
    <row r="2105" spans="1:14" s="17" customFormat="1" ht="16.5" customHeight="1" x14ac:dyDescent="0.2">
      <c r="A2105" s="686"/>
      <c r="B2105" s="686"/>
      <c r="C2105" s="686"/>
      <c r="D2105" s="686"/>
      <c r="E2105" s="686"/>
      <c r="F2105" s="686"/>
      <c r="G2105" s="686"/>
      <c r="H2105" s="686"/>
      <c r="I2105" s="686"/>
    </row>
    <row r="2106" spans="1:14" s="17" customFormat="1" ht="16.5" customHeight="1" x14ac:dyDescent="0.2">
      <c r="A2106" s="523"/>
      <c r="B2106" s="523"/>
      <c r="C2106" s="523"/>
      <c r="D2106" s="523"/>
      <c r="E2106" s="523"/>
      <c r="F2106" s="523"/>
      <c r="G2106" s="523"/>
      <c r="H2106" s="523"/>
      <c r="I2106" s="523"/>
    </row>
    <row r="2107" spans="1:14" s="17" customFormat="1" ht="16.5" customHeight="1" x14ac:dyDescent="0.2">
      <c r="A2107" s="540"/>
      <c r="B2107" s="722" t="s">
        <v>352</v>
      </c>
      <c r="C2107" s="722"/>
      <c r="D2107" s="722"/>
      <c r="E2107" s="540"/>
      <c r="F2107" s="540"/>
      <c r="G2107" s="541"/>
      <c r="H2107" s="260"/>
      <c r="I2107" s="245"/>
    </row>
    <row r="2108" spans="1:14" s="17" customFormat="1" ht="16.5" customHeight="1" x14ac:dyDescent="0.2">
      <c r="A2108" s="540"/>
      <c r="B2108" s="529"/>
      <c r="C2108" s="529"/>
      <c r="D2108" s="529"/>
      <c r="E2108" s="540"/>
      <c r="F2108" s="540"/>
      <c r="G2108" s="541"/>
      <c r="H2108" s="260"/>
      <c r="I2108" s="245"/>
    </row>
    <row r="2109" spans="1:14" s="17" customFormat="1" ht="16.5" customHeight="1" x14ac:dyDescent="0.2">
      <c r="A2109" s="723" t="s">
        <v>899</v>
      </c>
      <c r="B2109" s="723"/>
      <c r="C2109" s="723"/>
      <c r="D2109" s="723"/>
      <c r="E2109" s="723"/>
      <c r="F2109" s="723"/>
      <c r="G2109" s="723"/>
      <c r="H2109" s="723"/>
      <c r="I2109" s="723"/>
    </row>
    <row r="2110" spans="1:14" s="17" customFormat="1" ht="16.5" customHeight="1" x14ac:dyDescent="0.2">
      <c r="A2110" s="523"/>
      <c r="B2110" s="523"/>
      <c r="C2110" s="523"/>
      <c r="D2110" s="523"/>
      <c r="E2110" s="701" t="s">
        <v>85</v>
      </c>
      <c r="F2110" s="523"/>
      <c r="G2110" s="523"/>
      <c r="H2110" s="523"/>
      <c r="I2110" s="523"/>
    </row>
    <row r="2111" spans="1:14" s="17" customFormat="1" ht="16.5" customHeight="1" x14ac:dyDescent="0.2">
      <c r="A2111" s="192"/>
      <c r="B2111" s="214"/>
      <c r="C2111" s="15"/>
      <c r="D2111" s="537"/>
      <c r="E2111" s="701"/>
      <c r="F2111" s="537"/>
      <c r="G2111" s="192"/>
      <c r="H2111" s="537"/>
      <c r="I2111" s="537"/>
    </row>
    <row r="2112" spans="1:14" s="17" customFormat="1" ht="16.5" customHeight="1" x14ac:dyDescent="0.2">
      <c r="A2112" s="557" t="s">
        <v>48</v>
      </c>
      <c r="B2112" s="702" t="s">
        <v>49</v>
      </c>
      <c r="C2112" s="703"/>
      <c r="D2112" s="380" t="s">
        <v>86</v>
      </c>
      <c r="E2112" s="530" t="s">
        <v>321</v>
      </c>
      <c r="F2112" s="40" t="s">
        <v>87</v>
      </c>
      <c r="G2112" s="706" t="s">
        <v>52</v>
      </c>
      <c r="H2112" s="707"/>
      <c r="I2112" s="708" t="s">
        <v>53</v>
      </c>
    </row>
    <row r="2113" spans="1:14" s="17" customFormat="1" ht="16.5" customHeight="1" x14ac:dyDescent="0.2">
      <c r="A2113" s="574" t="s">
        <v>88</v>
      </c>
      <c r="B2113" s="704"/>
      <c r="C2113" s="705"/>
      <c r="D2113" s="381" t="s">
        <v>541</v>
      </c>
      <c r="E2113" s="41" t="s">
        <v>573</v>
      </c>
      <c r="F2113" s="41" t="s">
        <v>607</v>
      </c>
      <c r="G2113" s="24" t="s">
        <v>55</v>
      </c>
      <c r="H2113" s="24" t="s">
        <v>56</v>
      </c>
      <c r="I2113" s="709"/>
    </row>
    <row r="2114" spans="1:14" s="17" customFormat="1" ht="16.5" customHeight="1" x14ac:dyDescent="0.25">
      <c r="A2114" s="142">
        <v>1</v>
      </c>
      <c r="B2114" s="710">
        <v>2</v>
      </c>
      <c r="C2114" s="711"/>
      <c r="D2114" s="513">
        <v>3</v>
      </c>
      <c r="E2114" s="129">
        <v>4</v>
      </c>
      <c r="F2114" s="129">
        <v>5</v>
      </c>
      <c r="G2114" s="129">
        <v>6</v>
      </c>
      <c r="H2114" s="129">
        <v>7</v>
      </c>
      <c r="I2114" s="142">
        <v>8</v>
      </c>
      <c r="K2114" s="521"/>
      <c r="L2114" s="521"/>
      <c r="M2114" s="521"/>
      <c r="N2114" s="517"/>
    </row>
    <row r="2115" spans="1:14" s="17" customFormat="1" ht="16.5" customHeight="1" x14ac:dyDescent="0.25">
      <c r="A2115" s="26">
        <v>50008</v>
      </c>
      <c r="B2115" s="533" t="s">
        <v>536</v>
      </c>
      <c r="C2115" s="555"/>
      <c r="D2115" s="390">
        <f t="shared" ref="D2115:F2119" si="175">D326</f>
        <v>89667.5</v>
      </c>
      <c r="E2115" s="498">
        <f t="shared" si="175"/>
        <v>15000</v>
      </c>
      <c r="F2115" s="592">
        <f t="shared" si="175"/>
        <v>0</v>
      </c>
      <c r="G2115" s="571">
        <f>F2115/D2115</f>
        <v>0</v>
      </c>
      <c r="H2115" s="571">
        <f>F2115/E2115</f>
        <v>0</v>
      </c>
      <c r="I2115" s="252">
        <f>F2115/F2120</f>
        <v>0</v>
      </c>
      <c r="K2115" s="521"/>
      <c r="L2115" s="521"/>
      <c r="M2115" s="521"/>
      <c r="N2115" s="517"/>
    </row>
    <row r="2116" spans="1:14" s="17" customFormat="1" ht="16.5" customHeight="1" x14ac:dyDescent="0.25">
      <c r="A2116" s="81">
        <v>50212</v>
      </c>
      <c r="B2116" s="712" t="s">
        <v>404</v>
      </c>
      <c r="C2116" s="713"/>
      <c r="D2116" s="74">
        <f t="shared" si="175"/>
        <v>22454.400000000001</v>
      </c>
      <c r="E2116" s="497">
        <f t="shared" si="175"/>
        <v>115000</v>
      </c>
      <c r="F2116" s="74">
        <f t="shared" si="175"/>
        <v>4325.8</v>
      </c>
      <c r="G2116" s="86">
        <f t="shared" ref="G2116:G2121" si="176">F2116/D2116</f>
        <v>0.19264821148639019</v>
      </c>
      <c r="H2116" s="87">
        <f t="shared" ref="H2116:H2121" si="177">F2116/E2116</f>
        <v>3.7615652173913043E-2</v>
      </c>
      <c r="I2116" s="76">
        <f>F2116/F2120</f>
        <v>1.7110360082144602E-2</v>
      </c>
      <c r="K2116" s="521"/>
      <c r="L2116" s="521"/>
      <c r="M2116" s="521"/>
      <c r="N2116" s="517"/>
    </row>
    <row r="2117" spans="1:14" s="17" customFormat="1" ht="16.5" customHeight="1" x14ac:dyDescent="0.25">
      <c r="A2117" s="79">
        <v>50405</v>
      </c>
      <c r="B2117" s="712" t="s">
        <v>122</v>
      </c>
      <c r="C2117" s="713"/>
      <c r="D2117" s="74">
        <f t="shared" si="175"/>
        <v>0</v>
      </c>
      <c r="E2117" s="289">
        <f t="shared" si="175"/>
        <v>170000</v>
      </c>
      <c r="F2117" s="74">
        <f t="shared" si="175"/>
        <v>3115</v>
      </c>
      <c r="G2117" s="86" t="e">
        <f t="shared" si="176"/>
        <v>#DIV/0!</v>
      </c>
      <c r="H2117" s="87">
        <f t="shared" si="177"/>
        <v>1.8323529411764707E-2</v>
      </c>
      <c r="I2117" s="76">
        <f>F2117/F2120</f>
        <v>1.2321136357640304E-2</v>
      </c>
      <c r="K2117" s="521"/>
      <c r="L2117" s="521"/>
      <c r="M2117" s="521"/>
      <c r="N2117" s="517"/>
    </row>
    <row r="2118" spans="1:14" s="17" customFormat="1" ht="16.5" customHeight="1" x14ac:dyDescent="0.25">
      <c r="A2118" s="79">
        <v>50408</v>
      </c>
      <c r="B2118" s="712" t="s">
        <v>433</v>
      </c>
      <c r="C2118" s="713"/>
      <c r="D2118" s="74">
        <f t="shared" si="175"/>
        <v>146542.10999999999</v>
      </c>
      <c r="E2118" s="289">
        <f t="shared" si="175"/>
        <v>51000</v>
      </c>
      <c r="F2118" s="74">
        <f t="shared" si="175"/>
        <v>217757.79</v>
      </c>
      <c r="G2118" s="86">
        <f t="shared" si="176"/>
        <v>1.4859741681077203</v>
      </c>
      <c r="H2118" s="87">
        <f t="shared" si="177"/>
        <v>4.269760588235294</v>
      </c>
      <c r="I2118" s="76">
        <f>F2118/F2120</f>
        <v>0.86132373146979213</v>
      </c>
      <c r="K2118" s="521"/>
      <c r="L2118" s="521"/>
      <c r="M2118" s="521"/>
      <c r="N2118" s="517"/>
    </row>
    <row r="2119" spans="1:14" s="17" customFormat="1" ht="16.5" customHeight="1" x14ac:dyDescent="0.25">
      <c r="A2119" s="79">
        <v>50413</v>
      </c>
      <c r="B2119" s="712" t="s">
        <v>135</v>
      </c>
      <c r="C2119" s="713"/>
      <c r="D2119" s="74">
        <f t="shared" si="175"/>
        <v>232686.22</v>
      </c>
      <c r="E2119" s="289">
        <f t="shared" si="175"/>
        <v>0</v>
      </c>
      <c r="F2119" s="74">
        <f t="shared" si="175"/>
        <v>27619</v>
      </c>
      <c r="G2119" s="86">
        <f t="shared" si="176"/>
        <v>0.11869632847187943</v>
      </c>
      <c r="H2119" s="87" t="e">
        <f t="shared" si="177"/>
        <v>#DIV/0!</v>
      </c>
      <c r="I2119" s="76">
        <f>F2119/F2120</f>
        <v>0.10924477209042298</v>
      </c>
      <c r="K2119" s="521"/>
      <c r="L2119" s="521"/>
      <c r="M2119" s="521"/>
      <c r="N2119" s="517"/>
    </row>
    <row r="2120" spans="1:14" s="17" customFormat="1" ht="16.5" customHeight="1" x14ac:dyDescent="0.25">
      <c r="A2120" s="79"/>
      <c r="B2120" s="750" t="s">
        <v>353</v>
      </c>
      <c r="C2120" s="751"/>
      <c r="D2120" s="104">
        <f>D2115+D2116+D2117+D2118+D2119</f>
        <v>491350.23</v>
      </c>
      <c r="E2120" s="104">
        <f>E2115+E2116+E2117+E2118+E2119</f>
        <v>351000</v>
      </c>
      <c r="F2120" s="104">
        <f>F2115+F2116+F2117+F2118+F2119</f>
        <v>252817.59</v>
      </c>
      <c r="G2120" s="27">
        <f t="shared" si="176"/>
        <v>0.5145364234387354</v>
      </c>
      <c r="H2120" s="28">
        <f t="shared" si="177"/>
        <v>0.72027803418803416</v>
      </c>
      <c r="I2120" s="29">
        <f>I2115+I2116+I2117+I2118+I2119</f>
        <v>1</v>
      </c>
      <c r="K2120" s="521"/>
      <c r="L2120" s="521"/>
      <c r="M2120" s="521"/>
      <c r="N2120" s="517"/>
    </row>
    <row r="2121" spans="1:14" s="17" customFormat="1" ht="16.5" customHeight="1" x14ac:dyDescent="0.25">
      <c r="A2121" s="146"/>
      <c r="B2121" s="718" t="s">
        <v>333</v>
      </c>
      <c r="C2121" s="719"/>
      <c r="D2121" s="465">
        <f>D2120</f>
        <v>491350.23</v>
      </c>
      <c r="E2121" s="465">
        <f>E2120</f>
        <v>351000</v>
      </c>
      <c r="F2121" s="465">
        <f>F2120</f>
        <v>252817.59</v>
      </c>
      <c r="G2121" s="148">
        <f t="shared" si="176"/>
        <v>0.5145364234387354</v>
      </c>
      <c r="H2121" s="137">
        <f t="shared" si="177"/>
        <v>0.72027803418803416</v>
      </c>
      <c r="I2121" s="174">
        <f>I2120</f>
        <v>1</v>
      </c>
      <c r="K2121" s="521"/>
      <c r="L2121" s="521"/>
      <c r="M2121" s="521"/>
      <c r="N2121" s="517"/>
    </row>
    <row r="2122" spans="1:14" s="17" customFormat="1" ht="16.5" customHeight="1" x14ac:dyDescent="0.25">
      <c r="A2122" s="170"/>
      <c r="B2122" s="583"/>
      <c r="C2122" s="583"/>
      <c r="D2122" s="272"/>
      <c r="E2122" s="160"/>
      <c r="F2122" s="161"/>
      <c r="G2122" s="258"/>
      <c r="H2122" s="258"/>
      <c r="I2122" s="245"/>
      <c r="K2122" s="521"/>
      <c r="L2122" s="521"/>
      <c r="M2122" s="521"/>
      <c r="N2122" s="517"/>
    </row>
    <row r="2123" spans="1:14" s="17" customFormat="1" ht="16.5" customHeight="1" x14ac:dyDescent="0.25">
      <c r="A2123" s="527"/>
      <c r="B2123" s="742" t="s">
        <v>900</v>
      </c>
      <c r="C2123" s="742"/>
      <c r="D2123" s="742"/>
      <c r="E2123" s="742"/>
      <c r="F2123" s="742"/>
      <c r="G2123" s="742"/>
      <c r="H2123" s="742"/>
      <c r="I2123" s="742"/>
      <c r="K2123" s="521"/>
      <c r="L2123" s="521"/>
      <c r="M2123" s="521"/>
      <c r="N2123" s="517"/>
    </row>
    <row r="2124" spans="1:14" s="17" customFormat="1" ht="16.5" customHeight="1" x14ac:dyDescent="0.25">
      <c r="A2124" s="742" t="s">
        <v>901</v>
      </c>
      <c r="B2124" s="742"/>
      <c r="C2124" s="742"/>
      <c r="D2124" s="742"/>
      <c r="E2124" s="742"/>
      <c r="F2124" s="742"/>
      <c r="G2124" s="742"/>
      <c r="H2124" s="742"/>
      <c r="I2124" s="742"/>
      <c r="K2124" s="521"/>
      <c r="L2124" s="521"/>
      <c r="M2124" s="521"/>
      <c r="N2124" s="517"/>
    </row>
    <row r="2125" spans="1:14" s="17" customFormat="1" ht="16.5" customHeight="1" x14ac:dyDescent="0.25">
      <c r="A2125" s="742" t="s">
        <v>902</v>
      </c>
      <c r="B2125" s="742"/>
      <c r="C2125" s="742"/>
      <c r="D2125" s="742"/>
      <c r="E2125" s="742"/>
      <c r="F2125" s="742"/>
      <c r="G2125" s="742"/>
      <c r="H2125" s="742"/>
      <c r="I2125" s="742"/>
      <c r="K2125" s="521"/>
      <c r="L2125" s="521"/>
      <c r="M2125" s="521"/>
      <c r="N2125" s="517"/>
    </row>
    <row r="2126" spans="1:14" s="17" customFormat="1" ht="16.5" customHeight="1" x14ac:dyDescent="0.25">
      <c r="A2126" s="742" t="s">
        <v>904</v>
      </c>
      <c r="B2126" s="742"/>
      <c r="C2126" s="742"/>
      <c r="D2126" s="742"/>
      <c r="E2126" s="742"/>
      <c r="F2126" s="742"/>
      <c r="G2126" s="742"/>
      <c r="H2126" s="742"/>
      <c r="I2126" s="742"/>
      <c r="K2126" s="521"/>
      <c r="L2126" s="521"/>
      <c r="M2126" s="521"/>
      <c r="N2126" s="517"/>
    </row>
    <row r="2127" spans="1:14" s="17" customFormat="1" ht="16.5" customHeight="1" x14ac:dyDescent="0.25">
      <c r="A2127" s="691" t="s">
        <v>905</v>
      </c>
      <c r="B2127" s="690"/>
      <c r="C2127" s="690"/>
      <c r="D2127" s="690"/>
      <c r="E2127" s="690"/>
      <c r="F2127" s="690"/>
      <c r="G2127" s="690"/>
      <c r="H2127" s="690"/>
      <c r="I2127" s="690"/>
      <c r="K2127" s="696"/>
      <c r="L2127" s="696"/>
      <c r="M2127" s="696"/>
      <c r="N2127" s="692"/>
    </row>
    <row r="2128" spans="1:14" s="17" customFormat="1" ht="16.5" customHeight="1" x14ac:dyDescent="0.25">
      <c r="A2128" s="550"/>
      <c r="B2128" s="748" t="s">
        <v>903</v>
      </c>
      <c r="C2128" s="748"/>
      <c r="D2128" s="748"/>
      <c r="E2128" s="748"/>
      <c r="F2128" s="748"/>
      <c r="G2128" s="748"/>
      <c r="H2128" s="748"/>
      <c r="I2128" s="748"/>
      <c r="K2128" s="521"/>
      <c r="L2128" s="521"/>
      <c r="M2128" s="521"/>
      <c r="N2128" s="517"/>
    </row>
    <row r="2129" spans="1:14" s="17" customFormat="1" ht="16.5" customHeight="1" x14ac:dyDescent="0.25">
      <c r="A2129" s="749"/>
      <c r="B2129" s="749"/>
      <c r="C2129" s="749"/>
      <c r="D2129" s="749"/>
      <c r="E2129" s="749"/>
      <c r="F2129" s="749"/>
      <c r="G2129" s="749"/>
      <c r="H2129" s="749"/>
      <c r="I2129" s="749"/>
      <c r="K2129" s="521"/>
      <c r="L2129" s="521"/>
      <c r="M2129" s="521"/>
      <c r="N2129" s="517"/>
    </row>
    <row r="2130" spans="1:14" s="17" customFormat="1" ht="16.5" customHeight="1" x14ac:dyDescent="0.25">
      <c r="A2130" s="696"/>
      <c r="B2130" s="696"/>
      <c r="C2130" s="696"/>
      <c r="D2130" s="696"/>
      <c r="E2130" s="696"/>
      <c r="F2130" s="696"/>
      <c r="G2130" s="696"/>
      <c r="H2130" s="696"/>
      <c r="I2130" s="696"/>
      <c r="K2130" s="696"/>
      <c r="L2130" s="696"/>
      <c r="M2130" s="696"/>
      <c r="N2130" s="692"/>
    </row>
    <row r="2131" spans="1:14" s="17" customFormat="1" ht="16.5" customHeight="1" x14ac:dyDescent="0.25">
      <c r="A2131" s="696"/>
      <c r="B2131" s="696"/>
      <c r="C2131" s="696"/>
      <c r="D2131" s="696"/>
      <c r="E2131" s="696"/>
      <c r="F2131" s="696"/>
      <c r="G2131" s="696"/>
      <c r="H2131" s="696"/>
      <c r="I2131" s="696"/>
      <c r="K2131" s="696"/>
      <c r="L2131" s="696"/>
      <c r="M2131" s="696"/>
      <c r="N2131" s="692"/>
    </row>
    <row r="2132" spans="1:14" s="17" customFormat="1" ht="16.5" customHeight="1" x14ac:dyDescent="0.25">
      <c r="A2132" s="696"/>
      <c r="B2132" s="696"/>
      <c r="C2132" s="696"/>
      <c r="D2132" s="696"/>
      <c r="E2132" s="696"/>
      <c r="F2132" s="696"/>
      <c r="G2132" s="696"/>
      <c r="H2132" s="696"/>
      <c r="I2132" s="696"/>
      <c r="K2132" s="696"/>
      <c r="L2132" s="696"/>
      <c r="M2132" s="696"/>
      <c r="N2132" s="692"/>
    </row>
    <row r="2133" spans="1:14" s="17" customFormat="1" ht="16.5" customHeight="1" x14ac:dyDescent="0.25">
      <c r="A2133" s="696"/>
      <c r="B2133" s="696"/>
      <c r="C2133" s="696"/>
      <c r="D2133" s="696"/>
      <c r="E2133" s="696"/>
      <c r="F2133" s="696"/>
      <c r="G2133" s="696"/>
      <c r="H2133" s="696"/>
      <c r="I2133" s="696"/>
      <c r="K2133" s="696"/>
      <c r="L2133" s="696"/>
      <c r="M2133" s="696"/>
      <c r="N2133" s="692"/>
    </row>
    <row r="2134" spans="1:14" s="17" customFormat="1" ht="16.5" customHeight="1" x14ac:dyDescent="0.25">
      <c r="A2134" s="696"/>
      <c r="B2134" s="696"/>
      <c r="C2134" s="696"/>
      <c r="D2134" s="696"/>
      <c r="E2134" s="696"/>
      <c r="F2134" s="696"/>
      <c r="G2134" s="696"/>
      <c r="H2134" s="696"/>
      <c r="I2134" s="696"/>
      <c r="K2134" s="696"/>
      <c r="L2134" s="696"/>
      <c r="M2134" s="696"/>
      <c r="N2134" s="692"/>
    </row>
    <row r="2135" spans="1:14" s="17" customFormat="1" ht="16.5" customHeight="1" x14ac:dyDescent="0.25">
      <c r="A2135" s="696"/>
      <c r="B2135" s="696"/>
      <c r="C2135" s="696"/>
      <c r="D2135" s="696"/>
      <c r="E2135" s="696"/>
      <c r="F2135" s="696"/>
      <c r="G2135" s="696"/>
      <c r="H2135" s="696"/>
      <c r="I2135" s="696"/>
      <c r="K2135" s="696"/>
      <c r="L2135" s="696"/>
      <c r="M2135" s="696"/>
      <c r="N2135" s="692"/>
    </row>
    <row r="2136" spans="1:14" s="17" customFormat="1" ht="16.5" customHeight="1" x14ac:dyDescent="0.25">
      <c r="A2136" s="696"/>
      <c r="B2136" s="696"/>
      <c r="C2136" s="696"/>
      <c r="D2136" s="696"/>
      <c r="E2136" s="696"/>
      <c r="F2136" s="696"/>
      <c r="G2136" s="696"/>
      <c r="H2136" s="696"/>
      <c r="I2136" s="696"/>
      <c r="K2136" s="696"/>
      <c r="L2136" s="696"/>
      <c r="M2136" s="696"/>
      <c r="N2136" s="692"/>
    </row>
    <row r="2137" spans="1:14" s="17" customFormat="1" ht="16.5" customHeight="1" x14ac:dyDescent="0.25">
      <c r="A2137" s="696"/>
      <c r="B2137" s="696"/>
      <c r="C2137" s="696"/>
      <c r="D2137" s="696"/>
      <c r="E2137" s="696"/>
      <c r="F2137" s="696"/>
      <c r="G2137" s="696"/>
      <c r="H2137" s="696"/>
      <c r="I2137" s="696"/>
      <c r="K2137" s="696"/>
      <c r="L2137" s="696"/>
      <c r="M2137" s="696"/>
      <c r="N2137" s="692"/>
    </row>
    <row r="2138" spans="1:14" s="17" customFormat="1" ht="16.5" customHeight="1" x14ac:dyDescent="0.25">
      <c r="A2138" s="696"/>
      <c r="B2138" s="696"/>
      <c r="C2138" s="696"/>
      <c r="D2138" s="696"/>
      <c r="E2138" s="696"/>
      <c r="F2138" s="696"/>
      <c r="G2138" s="696"/>
      <c r="H2138" s="696"/>
      <c r="I2138" s="696"/>
      <c r="K2138" s="696"/>
      <c r="L2138" s="696"/>
      <c r="M2138" s="696"/>
      <c r="N2138" s="692"/>
    </row>
    <row r="2139" spans="1:14" s="17" customFormat="1" ht="16.5" customHeight="1" x14ac:dyDescent="0.25">
      <c r="A2139" s="696"/>
      <c r="B2139" s="696"/>
      <c r="C2139" s="696"/>
      <c r="D2139" s="696"/>
      <c r="E2139" s="696"/>
      <c r="F2139" s="696"/>
      <c r="G2139" s="696"/>
      <c r="H2139" s="696"/>
      <c r="I2139" s="695">
        <v>35</v>
      </c>
      <c r="K2139" s="696"/>
      <c r="L2139" s="696"/>
      <c r="M2139" s="696"/>
      <c r="N2139" s="692"/>
    </row>
    <row r="2140" spans="1:14" s="17" customFormat="1" ht="16.5" customHeight="1" x14ac:dyDescent="0.25">
      <c r="A2140" s="696"/>
      <c r="B2140" s="696"/>
      <c r="C2140" s="696"/>
      <c r="D2140" s="696"/>
      <c r="E2140" s="696"/>
      <c r="F2140" s="696"/>
      <c r="G2140" s="696"/>
      <c r="H2140" s="696"/>
      <c r="I2140" s="696"/>
      <c r="K2140" s="696"/>
      <c r="L2140" s="696"/>
      <c r="M2140" s="696"/>
      <c r="N2140" s="692"/>
    </row>
    <row r="2141" spans="1:14" s="17" customFormat="1" ht="16.5" customHeight="1" x14ac:dyDescent="0.25">
      <c r="A2141" s="696"/>
      <c r="B2141" s="696"/>
      <c r="C2141" s="696"/>
      <c r="D2141" s="696"/>
      <c r="E2141" s="696"/>
      <c r="F2141" s="696"/>
      <c r="G2141" s="696"/>
      <c r="H2141" s="696"/>
      <c r="I2141" s="696"/>
      <c r="K2141" s="696"/>
      <c r="L2141" s="696"/>
      <c r="M2141" s="696"/>
      <c r="N2141" s="692"/>
    </row>
    <row r="2142" spans="1:14" s="17" customFormat="1" ht="16.5" customHeight="1" x14ac:dyDescent="0.25">
      <c r="A2142" s="696"/>
      <c r="B2142" s="696"/>
      <c r="C2142" s="696"/>
      <c r="D2142" s="696"/>
      <c r="E2142" s="696"/>
      <c r="F2142" s="696"/>
      <c r="G2142" s="696"/>
      <c r="H2142" s="696"/>
      <c r="I2142" s="696"/>
      <c r="K2142" s="696"/>
      <c r="L2142" s="696"/>
      <c r="M2142" s="696"/>
      <c r="N2142" s="692"/>
    </row>
    <row r="2143" spans="1:14" s="17" customFormat="1" ht="16.5" customHeight="1" x14ac:dyDescent="0.25">
      <c r="A2143" s="725" t="s">
        <v>506</v>
      </c>
      <c r="B2143" s="725"/>
      <c r="C2143" s="725"/>
      <c r="D2143" s="725"/>
      <c r="E2143" s="725"/>
      <c r="F2143" s="725"/>
      <c r="G2143" s="725"/>
      <c r="H2143" s="725"/>
      <c r="I2143" s="725"/>
      <c r="K2143" s="521"/>
      <c r="L2143" s="521"/>
      <c r="M2143" s="521"/>
      <c r="N2143" s="517"/>
    </row>
    <row r="2144" spans="1:14" s="17" customFormat="1" ht="16.5" customHeight="1" x14ac:dyDescent="0.25">
      <c r="A2144" s="523"/>
      <c r="B2144" s="523"/>
      <c r="C2144" s="523"/>
      <c r="D2144" s="523"/>
      <c r="E2144" s="537" t="s">
        <v>85</v>
      </c>
      <c r="F2144" s="523"/>
      <c r="G2144" s="523"/>
      <c r="H2144" s="523"/>
      <c r="I2144" s="523"/>
      <c r="K2144" s="521"/>
      <c r="L2144" s="521"/>
      <c r="M2144" s="521"/>
      <c r="N2144" s="517"/>
    </row>
    <row r="2145" spans="1:15" s="17" customFormat="1" ht="18" customHeight="1" x14ac:dyDescent="0.25">
      <c r="A2145" s="523"/>
      <c r="B2145" s="523"/>
      <c r="C2145" s="523"/>
      <c r="D2145" s="523"/>
      <c r="E2145" s="537"/>
      <c r="F2145" s="523"/>
      <c r="G2145" s="523"/>
      <c r="H2145" s="523"/>
      <c r="I2145" s="523"/>
      <c r="K2145" s="521"/>
      <c r="L2145" s="521"/>
      <c r="M2145" s="521"/>
      <c r="N2145" s="517"/>
    </row>
    <row r="2146" spans="1:15" s="17" customFormat="1" ht="16.5" customHeight="1" x14ac:dyDescent="0.25">
      <c r="A2146" s="557" t="s">
        <v>48</v>
      </c>
      <c r="B2146" s="702" t="s">
        <v>49</v>
      </c>
      <c r="C2146" s="703"/>
      <c r="D2146" s="380" t="s">
        <v>86</v>
      </c>
      <c r="E2146" s="530" t="s">
        <v>152</v>
      </c>
      <c r="F2146" s="40" t="s">
        <v>87</v>
      </c>
      <c r="G2146" s="706" t="s">
        <v>52</v>
      </c>
      <c r="H2146" s="707"/>
      <c r="I2146" s="708" t="s">
        <v>53</v>
      </c>
      <c r="K2146" s="521"/>
      <c r="L2146" s="521"/>
      <c r="M2146" s="521"/>
      <c r="N2146" s="517"/>
    </row>
    <row r="2147" spans="1:15" s="17" customFormat="1" ht="16.5" customHeight="1" x14ac:dyDescent="0.25">
      <c r="A2147" s="574" t="s">
        <v>88</v>
      </c>
      <c r="B2147" s="704"/>
      <c r="C2147" s="705"/>
      <c r="D2147" s="381" t="s">
        <v>541</v>
      </c>
      <c r="E2147" s="41" t="s">
        <v>573</v>
      </c>
      <c r="F2147" s="41" t="s">
        <v>607</v>
      </c>
      <c r="G2147" s="24" t="s">
        <v>55</v>
      </c>
      <c r="H2147" s="24" t="s">
        <v>56</v>
      </c>
      <c r="I2147" s="709"/>
      <c r="K2147" s="521"/>
      <c r="L2147" s="521"/>
      <c r="M2147" s="521"/>
      <c r="N2147" s="517"/>
    </row>
    <row r="2148" spans="1:15" s="17" customFormat="1" ht="16.5" customHeight="1" x14ac:dyDescent="0.25">
      <c r="A2148" s="142">
        <v>1</v>
      </c>
      <c r="B2148" s="710">
        <v>2</v>
      </c>
      <c r="C2148" s="711"/>
      <c r="D2148" s="513">
        <v>3</v>
      </c>
      <c r="E2148" s="129">
        <v>4</v>
      </c>
      <c r="F2148" s="129">
        <v>5</v>
      </c>
      <c r="G2148" s="129">
        <v>6</v>
      </c>
      <c r="H2148" s="129">
        <v>7</v>
      </c>
      <c r="I2148" s="142">
        <v>8</v>
      </c>
      <c r="K2148" s="521"/>
      <c r="L2148" s="521"/>
      <c r="M2148" s="521"/>
      <c r="N2148" s="517"/>
      <c r="O2148" s="521"/>
    </row>
    <row r="2149" spans="1:15" s="17" customFormat="1" ht="16.5" customHeight="1" x14ac:dyDescent="0.25">
      <c r="A2149" s="81">
        <v>111</v>
      </c>
      <c r="B2149" s="716" t="s">
        <v>184</v>
      </c>
      <c r="C2149" s="717"/>
      <c r="D2149" s="5">
        <f>D675</f>
        <v>29238.7</v>
      </c>
      <c r="E2149" s="5">
        <f>E675</f>
        <v>49502.83</v>
      </c>
      <c r="F2149" s="5">
        <f>F675</f>
        <v>32709.52</v>
      </c>
      <c r="G2149" s="86">
        <f t="shared" ref="G2149:G2154" si="178">F2149/D2149</f>
        <v>1.1187063720343244</v>
      </c>
      <c r="H2149" s="87">
        <f t="shared" ref="H2149:H2154" si="179">F2149/E2149</f>
        <v>0.66076060701984107</v>
      </c>
      <c r="I2149" s="87">
        <f>F2149/F2154</f>
        <v>0.95680703162570069</v>
      </c>
      <c r="K2149" s="521"/>
      <c r="L2149" s="521"/>
      <c r="M2149" s="521"/>
      <c r="N2149" s="517"/>
      <c r="O2149" s="521"/>
    </row>
    <row r="2150" spans="1:15" s="17" customFormat="1" ht="16.5" customHeight="1" x14ac:dyDescent="0.25">
      <c r="A2150" s="81">
        <v>130</v>
      </c>
      <c r="B2150" s="716" t="s">
        <v>185</v>
      </c>
      <c r="C2150" s="717"/>
      <c r="D2150" s="434">
        <f>D885</f>
        <v>2054</v>
      </c>
      <c r="E2150" s="266">
        <f>E885</f>
        <v>4000</v>
      </c>
      <c r="F2150" s="434">
        <f>F885</f>
        <v>1476.6</v>
      </c>
      <c r="G2150" s="86">
        <f t="shared" si="178"/>
        <v>0.71888997078870487</v>
      </c>
      <c r="H2150" s="87">
        <f t="shared" si="179"/>
        <v>0.36914999999999998</v>
      </c>
      <c r="I2150" s="87">
        <f>F2150/F2154</f>
        <v>4.319296837429927E-2</v>
      </c>
      <c r="K2150" s="521"/>
      <c r="L2150" s="521"/>
      <c r="M2150" s="521"/>
      <c r="N2150" s="517"/>
      <c r="O2150" s="521"/>
    </row>
    <row r="2151" spans="1:15" s="17" customFormat="1" ht="16.5" customHeight="1" x14ac:dyDescent="0.25">
      <c r="A2151" s="81">
        <v>132</v>
      </c>
      <c r="B2151" s="716" t="s">
        <v>186</v>
      </c>
      <c r="C2151" s="717"/>
      <c r="D2151" s="5">
        <v>0</v>
      </c>
      <c r="E2151" s="145">
        <f>0+0+0+0+0+0</f>
        <v>0</v>
      </c>
      <c r="F2151" s="5">
        <v>0</v>
      </c>
      <c r="G2151" s="86" t="e">
        <f t="shared" si="178"/>
        <v>#DIV/0!</v>
      </c>
      <c r="H2151" s="87" t="e">
        <f t="shared" si="179"/>
        <v>#DIV/0!</v>
      </c>
      <c r="I2151" s="87">
        <f>F2151/F2154</f>
        <v>0</v>
      </c>
      <c r="K2151" s="521"/>
      <c r="L2151" s="521"/>
      <c r="M2151" s="521"/>
      <c r="N2151" s="517"/>
      <c r="O2151" s="521"/>
    </row>
    <row r="2152" spans="1:15" s="17" customFormat="1" ht="16.5" customHeight="1" x14ac:dyDescent="0.25">
      <c r="A2152" s="81">
        <v>200</v>
      </c>
      <c r="B2152" s="716" t="s">
        <v>187</v>
      </c>
      <c r="C2152" s="717"/>
      <c r="D2152" s="5">
        <v>0</v>
      </c>
      <c r="E2152" s="156">
        <f>0+0+0+0+0+0</f>
        <v>0</v>
      </c>
      <c r="F2152" s="5">
        <v>0</v>
      </c>
      <c r="G2152" s="86" t="e">
        <f t="shared" si="178"/>
        <v>#DIV/0!</v>
      </c>
      <c r="H2152" s="87" t="e">
        <f t="shared" si="179"/>
        <v>#DIV/0!</v>
      </c>
      <c r="I2152" s="87">
        <f>F2152/F2154</f>
        <v>0</v>
      </c>
      <c r="K2152" s="521"/>
      <c r="L2152" s="521"/>
      <c r="M2152" s="521"/>
      <c r="N2152" s="517"/>
      <c r="O2152" s="521"/>
    </row>
    <row r="2153" spans="1:15" s="17" customFormat="1" ht="16.5" customHeight="1" x14ac:dyDescent="0.25">
      <c r="A2153" s="81">
        <v>300</v>
      </c>
      <c r="B2153" s="716" t="s">
        <v>188</v>
      </c>
      <c r="C2153" s="717"/>
      <c r="D2153" s="5">
        <f>D1266</f>
        <v>0</v>
      </c>
      <c r="E2153" s="5">
        <f>E1266</f>
        <v>0</v>
      </c>
      <c r="F2153" s="5">
        <f>F1266</f>
        <v>0</v>
      </c>
      <c r="G2153" s="86" t="e">
        <f t="shared" si="178"/>
        <v>#DIV/0!</v>
      </c>
      <c r="H2153" s="87" t="e">
        <f t="shared" si="179"/>
        <v>#DIV/0!</v>
      </c>
      <c r="I2153" s="87">
        <f>F2153/F2154</f>
        <v>0</v>
      </c>
      <c r="K2153" s="521"/>
      <c r="L2153" s="521"/>
      <c r="M2153" s="521"/>
      <c r="N2153" s="517"/>
      <c r="O2153" s="521"/>
    </row>
    <row r="2154" spans="1:15" s="17" customFormat="1" ht="16.5" customHeight="1" x14ac:dyDescent="0.25">
      <c r="A2154" s="146"/>
      <c r="B2154" s="718" t="s">
        <v>84</v>
      </c>
      <c r="C2154" s="719"/>
      <c r="D2154" s="465">
        <f>D2149+D2150+D2151+D2152+D2153</f>
        <v>31292.7</v>
      </c>
      <c r="E2154" s="465">
        <f>E2149+E2150+E2151+E2152+E2153</f>
        <v>53502.83</v>
      </c>
      <c r="F2154" s="383">
        <f>F2149+F2150+F2151+F2152+F2153</f>
        <v>34186.120000000003</v>
      </c>
      <c r="G2154" s="169">
        <f t="shared" si="178"/>
        <v>1.0924630984223158</v>
      </c>
      <c r="H2154" s="137">
        <f t="shared" si="179"/>
        <v>0.6389590980514489</v>
      </c>
      <c r="I2154" s="174">
        <f>SUM(I2149:I2153)</f>
        <v>1</v>
      </c>
      <c r="K2154" s="521"/>
      <c r="L2154" s="521"/>
      <c r="M2154" s="521"/>
      <c r="N2154" s="517"/>
      <c r="O2154" s="521"/>
    </row>
    <row r="2155" spans="1:15" s="17" customFormat="1" ht="16.5" customHeight="1" x14ac:dyDescent="0.25">
      <c r="A2155" s="275"/>
      <c r="B2155" s="275"/>
      <c r="C2155" s="275"/>
      <c r="D2155" s="275"/>
      <c r="E2155" s="275"/>
      <c r="F2155" s="275"/>
      <c r="G2155" s="537"/>
      <c r="H2155" s="541"/>
      <c r="K2155" s="521"/>
      <c r="L2155" s="521"/>
      <c r="M2155" s="521"/>
      <c r="N2155" s="517"/>
      <c r="O2155" s="521"/>
    </row>
    <row r="2156" spans="1:15" s="17" customFormat="1" ht="16.5" customHeight="1" x14ac:dyDescent="0.25">
      <c r="A2156" s="538"/>
      <c r="B2156" s="715" t="s">
        <v>906</v>
      </c>
      <c r="C2156" s="715"/>
      <c r="D2156" s="715"/>
      <c r="E2156" s="715"/>
      <c r="F2156" s="715"/>
      <c r="G2156" s="715"/>
      <c r="H2156" s="715"/>
      <c r="I2156" s="715"/>
      <c r="K2156" s="521"/>
      <c r="L2156" s="521"/>
      <c r="M2156" s="521"/>
      <c r="N2156" s="517"/>
      <c r="O2156" s="521"/>
    </row>
    <row r="2157" spans="1:15" s="17" customFormat="1" ht="16.5" customHeight="1" x14ac:dyDescent="0.25">
      <c r="A2157" s="715" t="s">
        <v>907</v>
      </c>
      <c r="B2157" s="715"/>
      <c r="C2157" s="715"/>
      <c r="D2157" s="715"/>
      <c r="E2157" s="715"/>
      <c r="F2157" s="715"/>
      <c r="G2157" s="715"/>
      <c r="H2157" s="715"/>
      <c r="I2157" s="715"/>
      <c r="K2157" s="521"/>
      <c r="L2157" s="521"/>
      <c r="M2157" s="521"/>
      <c r="N2157" s="517"/>
      <c r="O2157" s="521"/>
    </row>
    <row r="2158" spans="1:15" s="17" customFormat="1" ht="16.5" customHeight="1" x14ac:dyDescent="0.25">
      <c r="A2158" s="724" t="s">
        <v>908</v>
      </c>
      <c r="B2158" s="724"/>
      <c r="C2158" s="724"/>
      <c r="D2158" s="724"/>
      <c r="E2158" s="724"/>
      <c r="F2158" s="724"/>
      <c r="G2158" s="724"/>
      <c r="H2158" s="724"/>
      <c r="I2158" s="724"/>
      <c r="K2158" s="521"/>
      <c r="L2158" s="521"/>
      <c r="M2158" s="521"/>
      <c r="N2158" s="517"/>
      <c r="O2158" s="521"/>
    </row>
    <row r="2159" spans="1:15" s="17" customFormat="1" ht="16.5" customHeight="1" x14ac:dyDescent="0.25">
      <c r="A2159" s="714" t="s">
        <v>909</v>
      </c>
      <c r="B2159" s="714"/>
      <c r="C2159" s="714"/>
      <c r="D2159" s="714"/>
      <c r="E2159" s="714"/>
      <c r="F2159" s="714"/>
      <c r="G2159" s="714"/>
      <c r="H2159" s="714"/>
      <c r="I2159" s="714"/>
      <c r="K2159" s="521"/>
      <c r="L2159" s="521"/>
      <c r="M2159" s="521"/>
      <c r="N2159" s="517"/>
      <c r="O2159" s="521"/>
    </row>
    <row r="2160" spans="1:15" s="17" customFormat="1" ht="18.75" customHeight="1" x14ac:dyDescent="0.25">
      <c r="A2160" s="714" t="s">
        <v>910</v>
      </c>
      <c r="B2160" s="714"/>
      <c r="C2160" s="714"/>
      <c r="D2160" s="714"/>
      <c r="E2160" s="714"/>
      <c r="F2160" s="714"/>
      <c r="G2160" s="714"/>
      <c r="H2160" s="714"/>
      <c r="I2160" s="714"/>
      <c r="K2160" s="521"/>
      <c r="L2160" s="521"/>
      <c r="M2160" s="521"/>
      <c r="N2160" s="517"/>
      <c r="O2160" s="521"/>
    </row>
    <row r="2161" spans="1:15" s="17" customFormat="1" ht="16.5" customHeight="1" x14ac:dyDescent="0.25">
      <c r="A2161" s="714" t="s">
        <v>911</v>
      </c>
      <c r="B2161" s="714"/>
      <c r="C2161" s="714"/>
      <c r="D2161" s="714"/>
      <c r="E2161" s="714"/>
      <c r="F2161" s="714"/>
      <c r="G2161" s="714"/>
      <c r="H2161" s="714"/>
      <c r="I2161" s="714"/>
      <c r="K2161" s="521"/>
      <c r="L2161" s="521"/>
      <c r="M2161" s="521"/>
      <c r="N2161" s="517"/>
      <c r="O2161" s="521"/>
    </row>
    <row r="2162" spans="1:15" s="17" customFormat="1" ht="16.5" customHeight="1" x14ac:dyDescent="0.25">
      <c r="A2162" s="720" t="s">
        <v>553</v>
      </c>
      <c r="B2162" s="720"/>
      <c r="C2162" s="720"/>
      <c r="D2162" s="720"/>
      <c r="E2162" s="720"/>
      <c r="F2162" s="720"/>
      <c r="G2162" s="720"/>
      <c r="H2162" s="720"/>
      <c r="I2162" s="720"/>
      <c r="K2162" s="521"/>
      <c r="L2162" s="521"/>
      <c r="M2162" s="521"/>
      <c r="N2162" s="517"/>
      <c r="O2162" s="521"/>
    </row>
    <row r="2163" spans="1:15" s="17" customFormat="1" ht="16.5" customHeight="1" x14ac:dyDescent="0.25">
      <c r="A2163" s="720"/>
      <c r="B2163" s="720"/>
      <c r="C2163" s="720"/>
      <c r="D2163" s="720"/>
      <c r="E2163" s="720"/>
      <c r="F2163" s="720"/>
      <c r="G2163" s="720"/>
      <c r="H2163" s="720"/>
      <c r="I2163" s="720"/>
      <c r="K2163" s="521"/>
      <c r="L2163" s="521"/>
      <c r="M2163" s="521"/>
      <c r="N2163" s="517"/>
      <c r="O2163" s="521"/>
    </row>
    <row r="2164" spans="1:15" s="17" customFormat="1" ht="16.5" customHeight="1" x14ac:dyDescent="0.25">
      <c r="A2164" s="524"/>
      <c r="B2164" s="556"/>
      <c r="C2164" s="556"/>
      <c r="D2164" s="556"/>
      <c r="E2164" s="556"/>
      <c r="F2164" s="556"/>
      <c r="G2164" s="556"/>
      <c r="H2164" s="306"/>
      <c r="I2164" s="245"/>
      <c r="K2164" s="521"/>
      <c r="L2164" s="521"/>
      <c r="M2164" s="521"/>
      <c r="N2164" s="517"/>
      <c r="O2164" s="521"/>
    </row>
    <row r="2165" spans="1:15" s="17" customFormat="1" ht="16.5" customHeight="1" x14ac:dyDescent="0.25">
      <c r="A2165" s="524"/>
      <c r="B2165" s="556"/>
      <c r="C2165" s="556"/>
      <c r="D2165" s="556"/>
      <c r="E2165" s="556"/>
      <c r="F2165" s="556"/>
      <c r="G2165" s="556"/>
      <c r="H2165" s="306"/>
      <c r="I2165" s="245"/>
      <c r="K2165" s="521"/>
      <c r="L2165" s="521"/>
      <c r="M2165" s="521"/>
      <c r="N2165" s="517"/>
      <c r="O2165" s="521"/>
    </row>
    <row r="2166" spans="1:15" s="17" customFormat="1" ht="16.5" customHeight="1" x14ac:dyDescent="0.25">
      <c r="A2166" s="524"/>
      <c r="B2166" s="556"/>
      <c r="C2166" s="556"/>
      <c r="D2166" s="556"/>
      <c r="E2166" s="556"/>
      <c r="F2166" s="556"/>
      <c r="G2166" s="556"/>
      <c r="H2166" s="306"/>
      <c r="I2166" s="216"/>
      <c r="K2166" s="521"/>
      <c r="L2166" s="521"/>
      <c r="M2166" s="521"/>
      <c r="N2166" s="517"/>
      <c r="O2166" s="521"/>
    </row>
    <row r="2167" spans="1:15" s="17" customFormat="1" ht="16.5" customHeight="1" x14ac:dyDescent="0.25">
      <c r="A2167" s="524"/>
      <c r="B2167" s="556"/>
      <c r="C2167" s="556"/>
      <c r="D2167" s="556"/>
      <c r="E2167" s="556"/>
      <c r="F2167" s="556"/>
      <c r="G2167" s="556"/>
      <c r="H2167" s="306"/>
      <c r="I2167" s="216"/>
      <c r="K2167" s="521"/>
      <c r="L2167" s="521"/>
      <c r="M2167" s="521"/>
      <c r="N2167" s="517"/>
      <c r="O2167" s="521"/>
    </row>
    <row r="2168" spans="1:15" s="17" customFormat="1" ht="16.5" customHeight="1" x14ac:dyDescent="0.25">
      <c r="A2168" s="524"/>
      <c r="B2168" s="556"/>
      <c r="C2168" s="556"/>
      <c r="D2168" s="556"/>
      <c r="E2168" s="556"/>
      <c r="F2168" s="556"/>
      <c r="G2168" s="556"/>
      <c r="H2168" s="306"/>
      <c r="I2168" s="273"/>
      <c r="K2168" s="521"/>
      <c r="L2168" s="521"/>
      <c r="M2168" s="521"/>
      <c r="N2168" s="517"/>
      <c r="O2168" s="521"/>
    </row>
    <row r="2169" spans="1:15" s="17" customFormat="1" ht="16.5" customHeight="1" x14ac:dyDescent="0.25">
      <c r="A2169" s="540"/>
      <c r="B2169" s="722" t="s">
        <v>354</v>
      </c>
      <c r="C2169" s="722"/>
      <c r="D2169" s="722"/>
      <c r="E2169" s="540"/>
      <c r="F2169" s="540"/>
      <c r="G2169" s="541"/>
      <c r="H2169" s="260"/>
      <c r="I2169" s="245"/>
      <c r="K2169" s="521"/>
      <c r="L2169" s="521"/>
      <c r="M2169" s="521"/>
      <c r="N2169" s="521"/>
      <c r="O2169" s="521"/>
    </row>
    <row r="2170" spans="1:15" s="17" customFormat="1" ht="16.5" customHeight="1" x14ac:dyDescent="0.25">
      <c r="A2170" s="540"/>
      <c r="B2170" s="529"/>
      <c r="C2170" s="529"/>
      <c r="D2170" s="529"/>
      <c r="E2170" s="540"/>
      <c r="F2170" s="540"/>
      <c r="G2170" s="541"/>
      <c r="H2170" s="260"/>
      <c r="I2170" s="245"/>
      <c r="K2170" s="521"/>
      <c r="L2170" s="521"/>
      <c r="M2170" s="521"/>
      <c r="N2170" s="521"/>
      <c r="O2170" s="521"/>
    </row>
    <row r="2171" spans="1:15" s="17" customFormat="1" ht="16.5" customHeight="1" x14ac:dyDescent="0.25">
      <c r="A2171" s="723" t="s">
        <v>912</v>
      </c>
      <c r="B2171" s="723"/>
      <c r="C2171" s="723"/>
      <c r="D2171" s="723"/>
      <c r="E2171" s="723"/>
      <c r="F2171" s="723"/>
      <c r="G2171" s="723"/>
      <c r="H2171" s="723"/>
      <c r="I2171" s="723"/>
      <c r="K2171" s="521"/>
      <c r="L2171" s="521"/>
      <c r="M2171" s="521"/>
      <c r="N2171" s="521"/>
      <c r="O2171" s="521"/>
    </row>
    <row r="2172" spans="1:15" s="17" customFormat="1" ht="16.5" customHeight="1" x14ac:dyDescent="0.25">
      <c r="A2172" s="723" t="s">
        <v>913</v>
      </c>
      <c r="B2172" s="723"/>
      <c r="C2172" s="723"/>
      <c r="D2172" s="723"/>
      <c r="E2172" s="723"/>
      <c r="F2172" s="723"/>
      <c r="G2172" s="723"/>
      <c r="H2172" s="723"/>
      <c r="I2172" s="723"/>
      <c r="K2172" s="521"/>
      <c r="L2172" s="521"/>
      <c r="M2172" s="521"/>
      <c r="N2172" s="521"/>
      <c r="O2172" s="521"/>
    </row>
    <row r="2173" spans="1:15" s="17" customFormat="1" ht="16.5" customHeight="1" x14ac:dyDescent="0.25">
      <c r="A2173" s="523"/>
      <c r="B2173" s="523"/>
      <c r="C2173" s="523"/>
      <c r="D2173" s="523"/>
      <c r="E2173" s="701" t="s">
        <v>85</v>
      </c>
      <c r="F2173" s="523"/>
      <c r="G2173" s="523"/>
      <c r="H2173" s="523"/>
      <c r="I2173" s="523"/>
      <c r="K2173" s="521"/>
      <c r="L2173" s="521"/>
      <c r="M2173" s="521"/>
      <c r="N2173" s="521"/>
      <c r="O2173" s="521"/>
    </row>
    <row r="2174" spans="1:15" s="17" customFormat="1" ht="16.5" customHeight="1" x14ac:dyDescent="0.25">
      <c r="A2174" s="192"/>
      <c r="B2174" s="214"/>
      <c r="C2174" s="15"/>
      <c r="D2174" s="537"/>
      <c r="E2174" s="701"/>
      <c r="F2174" s="537"/>
      <c r="G2174" s="192"/>
      <c r="H2174" s="537"/>
      <c r="I2174" s="537"/>
      <c r="K2174" s="521"/>
      <c r="L2174" s="521"/>
      <c r="M2174" s="521"/>
      <c r="N2174" s="521"/>
      <c r="O2174" s="521"/>
    </row>
    <row r="2175" spans="1:15" s="17" customFormat="1" ht="16.5" customHeight="1" x14ac:dyDescent="0.25">
      <c r="A2175" s="557" t="s">
        <v>48</v>
      </c>
      <c r="B2175" s="702" t="s">
        <v>49</v>
      </c>
      <c r="C2175" s="703"/>
      <c r="D2175" s="380" t="s">
        <v>86</v>
      </c>
      <c r="E2175" s="530" t="s">
        <v>321</v>
      </c>
      <c r="F2175" s="40" t="s">
        <v>87</v>
      </c>
      <c r="G2175" s="706" t="s">
        <v>52</v>
      </c>
      <c r="H2175" s="707"/>
      <c r="I2175" s="708" t="s">
        <v>53</v>
      </c>
      <c r="K2175" s="521"/>
      <c r="L2175" s="521"/>
      <c r="M2175" s="521"/>
      <c r="N2175" s="521"/>
      <c r="O2175" s="521"/>
    </row>
    <row r="2176" spans="1:15" s="17" customFormat="1" ht="16.5" customHeight="1" x14ac:dyDescent="0.25">
      <c r="A2176" s="574" t="s">
        <v>88</v>
      </c>
      <c r="B2176" s="704"/>
      <c r="C2176" s="705"/>
      <c r="D2176" s="381" t="s">
        <v>541</v>
      </c>
      <c r="E2176" s="41" t="s">
        <v>573</v>
      </c>
      <c r="F2176" s="41" t="s">
        <v>607</v>
      </c>
      <c r="G2176" s="24" t="s">
        <v>55</v>
      </c>
      <c r="H2176" s="24" t="s">
        <v>56</v>
      </c>
      <c r="I2176" s="709"/>
      <c r="K2176" s="521"/>
      <c r="L2176" s="521"/>
      <c r="M2176" s="521"/>
      <c r="N2176" s="521"/>
      <c r="O2176" s="521"/>
    </row>
    <row r="2177" spans="1:16" s="17" customFormat="1" ht="16.5" customHeight="1" x14ac:dyDescent="0.25">
      <c r="A2177" s="142">
        <v>1</v>
      </c>
      <c r="B2177" s="710">
        <v>2</v>
      </c>
      <c r="C2177" s="711"/>
      <c r="D2177" s="513">
        <v>3</v>
      </c>
      <c r="E2177" s="129">
        <v>4</v>
      </c>
      <c r="F2177" s="129">
        <v>5</v>
      </c>
      <c r="G2177" s="129">
        <v>6</v>
      </c>
      <c r="H2177" s="129">
        <v>7</v>
      </c>
      <c r="I2177" s="142">
        <v>8</v>
      </c>
      <c r="K2177" s="521"/>
      <c r="L2177" s="521"/>
      <c r="M2177" s="521"/>
      <c r="N2177" s="521"/>
      <c r="O2177" s="521"/>
    </row>
    <row r="2178" spans="1:16" s="17" customFormat="1" ht="16.5" customHeight="1" x14ac:dyDescent="0.25">
      <c r="A2178" s="307">
        <v>50009</v>
      </c>
      <c r="B2178" s="712" t="s">
        <v>136</v>
      </c>
      <c r="C2178" s="713"/>
      <c r="D2178" s="5">
        <f t="shared" ref="D2178:F2179" si="180">D333</f>
        <v>451576.91</v>
      </c>
      <c r="E2178" s="468">
        <f t="shared" si="180"/>
        <v>581176.19999999995</v>
      </c>
      <c r="F2178" s="5">
        <f t="shared" si="180"/>
        <v>970211.17</v>
      </c>
      <c r="G2178" s="209">
        <f>F2178/D2178</f>
        <v>2.1484959671653718</v>
      </c>
      <c r="H2178" s="210">
        <f>F2178/E2178</f>
        <v>1.6693924665187598</v>
      </c>
      <c r="I2178" s="210">
        <f>F2178/F2180</f>
        <v>0.97744192369800609</v>
      </c>
      <c r="K2178" s="521"/>
      <c r="L2178" s="521"/>
      <c r="M2178" s="521"/>
      <c r="N2178" s="521"/>
      <c r="O2178" s="521"/>
    </row>
    <row r="2179" spans="1:16" s="17" customFormat="1" ht="16.5" customHeight="1" x14ac:dyDescent="0.25">
      <c r="A2179" s="81">
        <v>50026</v>
      </c>
      <c r="B2179" s="712" t="s">
        <v>137</v>
      </c>
      <c r="C2179" s="713"/>
      <c r="D2179" s="5">
        <f t="shared" si="180"/>
        <v>23869.94</v>
      </c>
      <c r="E2179" s="468">
        <f t="shared" si="180"/>
        <v>105883.2</v>
      </c>
      <c r="F2179" s="5">
        <f t="shared" si="180"/>
        <v>22391.200000000001</v>
      </c>
      <c r="G2179" s="209">
        <f>F2179/D2179</f>
        <v>0.93805011659015491</v>
      </c>
      <c r="H2179" s="210">
        <f>F2179/E2179</f>
        <v>0.21147075267842302</v>
      </c>
      <c r="I2179" s="210">
        <f>F2179/F2180</f>
        <v>2.2558076301993919E-2</v>
      </c>
      <c r="K2179" s="521"/>
      <c r="L2179" s="521"/>
      <c r="M2179" s="521"/>
      <c r="N2179" s="521"/>
      <c r="O2179" s="521"/>
    </row>
    <row r="2180" spans="1:16" s="17" customFormat="1" ht="16.5" customHeight="1" x14ac:dyDescent="0.25">
      <c r="A2180" s="146"/>
      <c r="B2180" s="718" t="s">
        <v>333</v>
      </c>
      <c r="C2180" s="719"/>
      <c r="D2180" s="466">
        <f>D2178+D2179</f>
        <v>475446.85</v>
      </c>
      <c r="E2180" s="466">
        <f t="shared" ref="E2180:F2180" si="181">E2178+E2179</f>
        <v>687059.39999999991</v>
      </c>
      <c r="F2180" s="466">
        <f t="shared" si="181"/>
        <v>992602.37</v>
      </c>
      <c r="G2180" s="148">
        <f>F2180/D2180</f>
        <v>2.0877251999881796</v>
      </c>
      <c r="H2180" s="137">
        <f>F2180/E2180</f>
        <v>1.4447111414238714</v>
      </c>
      <c r="I2180" s="137">
        <f>I2178+I2179</f>
        <v>1</v>
      </c>
      <c r="K2180" s="521"/>
      <c r="L2180" s="521"/>
      <c r="M2180" s="521"/>
      <c r="N2180" s="521"/>
      <c r="O2180" s="521"/>
    </row>
    <row r="2181" spans="1:16" s="17" customFormat="1" ht="16.5" customHeight="1" x14ac:dyDescent="0.25">
      <c r="A2181" s="308"/>
      <c r="B2181" s="584"/>
      <c r="C2181" s="584"/>
      <c r="D2181" s="309"/>
      <c r="E2181" s="160"/>
      <c r="F2181" s="161"/>
      <c r="G2181" s="258"/>
      <c r="H2181" s="258"/>
      <c r="I2181" s="245"/>
      <c r="K2181" s="521"/>
      <c r="L2181" s="521"/>
      <c r="M2181" s="521"/>
      <c r="N2181" s="521"/>
      <c r="O2181" s="521"/>
    </row>
    <row r="2182" spans="1:16" s="17" customFormat="1" ht="16.5" customHeight="1" x14ac:dyDescent="0.25">
      <c r="A2182" s="742" t="s">
        <v>914</v>
      </c>
      <c r="B2182" s="742"/>
      <c r="C2182" s="742"/>
      <c r="D2182" s="742"/>
      <c r="E2182" s="742"/>
      <c r="F2182" s="742"/>
      <c r="G2182" s="742"/>
      <c r="H2182" s="742"/>
      <c r="I2182" s="742"/>
      <c r="K2182" s="521"/>
      <c r="L2182" s="521"/>
      <c r="M2182" s="521"/>
      <c r="N2182" s="521"/>
      <c r="O2182" s="521"/>
    </row>
    <row r="2183" spans="1:16" s="17" customFormat="1" ht="16.5" customHeight="1" x14ac:dyDescent="0.25">
      <c r="A2183" s="527"/>
      <c r="B2183" s="742" t="s">
        <v>915</v>
      </c>
      <c r="C2183" s="742"/>
      <c r="D2183" s="742"/>
      <c r="E2183" s="742"/>
      <c r="F2183" s="742"/>
      <c r="G2183" s="742"/>
      <c r="H2183" s="742"/>
      <c r="I2183" s="742"/>
      <c r="K2183" s="521"/>
      <c r="L2183" s="521"/>
      <c r="M2183" s="521"/>
      <c r="N2183" s="521"/>
      <c r="O2183" s="521"/>
      <c r="P2183" s="521"/>
    </row>
    <row r="2184" spans="1:16" s="17" customFormat="1" ht="16.5" customHeight="1" x14ac:dyDescent="0.25">
      <c r="A2184" s="527"/>
      <c r="B2184" s="742" t="s">
        <v>916</v>
      </c>
      <c r="C2184" s="742"/>
      <c r="D2184" s="742"/>
      <c r="E2184" s="742"/>
      <c r="F2184" s="742"/>
      <c r="G2184" s="742"/>
      <c r="H2184" s="742"/>
      <c r="I2184" s="742"/>
      <c r="K2184" s="521"/>
      <c r="L2184" s="521"/>
      <c r="M2184" s="521"/>
      <c r="N2184" s="521"/>
      <c r="O2184" s="521"/>
      <c r="P2184" s="521"/>
    </row>
    <row r="2185" spans="1:16" s="17" customFormat="1" ht="16.5" customHeight="1" x14ac:dyDescent="0.25">
      <c r="A2185" s="742" t="s">
        <v>917</v>
      </c>
      <c r="B2185" s="742"/>
      <c r="C2185" s="742"/>
      <c r="D2185" s="742"/>
      <c r="E2185" s="742"/>
      <c r="F2185" s="742"/>
      <c r="G2185" s="742"/>
      <c r="H2185" s="742"/>
      <c r="I2185" s="742"/>
      <c r="K2185" s="521"/>
      <c r="L2185" s="521"/>
      <c r="M2185" s="521"/>
      <c r="N2185" s="521"/>
      <c r="O2185" s="521"/>
      <c r="P2185" s="521"/>
    </row>
    <row r="2186" spans="1:16" s="696" customFormat="1" ht="16.5" customHeight="1" x14ac:dyDescent="0.25"/>
    <row r="2187" spans="1:16" s="696" customFormat="1" ht="16.5" customHeight="1" x14ac:dyDescent="0.25"/>
    <row r="2188" spans="1:16" s="696" customFormat="1" ht="16.5" customHeight="1" x14ac:dyDescent="0.25"/>
    <row r="2189" spans="1:16" s="696" customFormat="1" ht="16.5" customHeight="1" x14ac:dyDescent="0.25"/>
    <row r="2190" spans="1:16" s="696" customFormat="1" ht="16.5" customHeight="1" x14ac:dyDescent="0.25"/>
    <row r="2191" spans="1:16" s="696" customFormat="1" ht="16.5" customHeight="1" x14ac:dyDescent="0.25"/>
    <row r="2192" spans="1:16" s="696" customFormat="1" ht="16.5" customHeight="1" x14ac:dyDescent="0.25"/>
    <row r="2193" spans="1:16" s="696" customFormat="1" ht="16.5" customHeight="1" x14ac:dyDescent="0.25"/>
    <row r="2194" spans="1:16" s="696" customFormat="1" ht="16.5" customHeight="1" x14ac:dyDescent="0.25"/>
    <row r="2195" spans="1:16" s="696" customFormat="1" ht="16.5" customHeight="1" x14ac:dyDescent="0.25"/>
    <row r="2196" spans="1:16" s="696" customFormat="1" ht="16.5" customHeight="1" x14ac:dyDescent="0.25"/>
    <row r="2197" spans="1:16" s="696" customFormat="1" ht="16.5" customHeight="1" x14ac:dyDescent="0.25"/>
    <row r="2198" spans="1:16" s="696" customFormat="1" ht="16.5" customHeight="1" x14ac:dyDescent="0.25">
      <c r="I2198" s="216">
        <v>36</v>
      </c>
    </row>
    <row r="2199" spans="1:16" s="696" customFormat="1" ht="16.5" customHeight="1" x14ac:dyDescent="0.25"/>
    <row r="2200" spans="1:16" s="696" customFormat="1" ht="16.5" customHeight="1" x14ac:dyDescent="0.25"/>
    <row r="2201" spans="1:16" s="17" customFormat="1" ht="16.5" customHeight="1" x14ac:dyDescent="0.25">
      <c r="A2201" s="743" t="s">
        <v>507</v>
      </c>
      <c r="B2201" s="743"/>
      <c r="C2201" s="743"/>
      <c r="D2201" s="743"/>
      <c r="E2201" s="743"/>
      <c r="F2201" s="743"/>
      <c r="G2201" s="743"/>
      <c r="H2201" s="743"/>
      <c r="I2201" s="743"/>
      <c r="K2201" s="521"/>
      <c r="L2201" s="521"/>
      <c r="M2201" s="521"/>
      <c r="N2201" s="521"/>
      <c r="O2201" s="521"/>
      <c r="P2201" s="521"/>
    </row>
    <row r="2202" spans="1:16" s="17" customFormat="1" ht="16.5" customHeight="1" x14ac:dyDescent="0.25">
      <c r="A2202" s="523"/>
      <c r="B2202" s="523"/>
      <c r="C2202" s="523"/>
      <c r="D2202" s="523"/>
      <c r="E2202" s="701" t="s">
        <v>85</v>
      </c>
      <c r="F2202" s="523"/>
      <c r="G2202" s="523"/>
      <c r="H2202" s="523"/>
      <c r="I2202" s="523"/>
      <c r="K2202" s="521"/>
      <c r="L2202" s="521"/>
      <c r="M2202" s="521"/>
      <c r="N2202" s="521"/>
      <c r="O2202" s="521"/>
      <c r="P2202" s="521"/>
    </row>
    <row r="2203" spans="1:16" s="17" customFormat="1" ht="18.75" customHeight="1" x14ac:dyDescent="0.25">
      <c r="A2203" s="192"/>
      <c r="B2203" s="214"/>
      <c r="C2203" s="15"/>
      <c r="D2203" s="537"/>
      <c r="E2203" s="701"/>
      <c r="F2203" s="537"/>
      <c r="G2203" s="192"/>
      <c r="H2203" s="537"/>
      <c r="I2203" s="537"/>
      <c r="K2203" s="521"/>
      <c r="L2203" s="521"/>
      <c r="M2203" s="521"/>
      <c r="N2203" s="521"/>
      <c r="O2203" s="521"/>
      <c r="P2203" s="521"/>
    </row>
    <row r="2204" spans="1:16" s="17" customFormat="1" ht="16.5" customHeight="1" x14ac:dyDescent="0.25">
      <c r="A2204" s="557" t="s">
        <v>48</v>
      </c>
      <c r="B2204" s="702" t="s">
        <v>49</v>
      </c>
      <c r="C2204" s="703"/>
      <c r="D2204" s="380" t="s">
        <v>86</v>
      </c>
      <c r="E2204" s="530" t="s">
        <v>152</v>
      </c>
      <c r="F2204" s="40" t="s">
        <v>87</v>
      </c>
      <c r="G2204" s="706" t="s">
        <v>52</v>
      </c>
      <c r="H2204" s="707"/>
      <c r="I2204" s="708" t="s">
        <v>53</v>
      </c>
      <c r="K2204" s="521"/>
      <c r="L2204" s="521"/>
      <c r="M2204" s="521"/>
      <c r="N2204" s="521"/>
      <c r="O2204" s="521"/>
      <c r="P2204" s="521"/>
    </row>
    <row r="2205" spans="1:16" s="17" customFormat="1" ht="16.5" customHeight="1" x14ac:dyDescent="0.25">
      <c r="A2205" s="574" t="s">
        <v>88</v>
      </c>
      <c r="B2205" s="704"/>
      <c r="C2205" s="705"/>
      <c r="D2205" s="381" t="s">
        <v>541</v>
      </c>
      <c r="E2205" s="41" t="s">
        <v>573</v>
      </c>
      <c r="F2205" s="41" t="s">
        <v>607</v>
      </c>
      <c r="G2205" s="24" t="s">
        <v>55</v>
      </c>
      <c r="H2205" s="24" t="s">
        <v>56</v>
      </c>
      <c r="I2205" s="709"/>
      <c r="K2205" s="521"/>
      <c r="L2205" s="521"/>
      <c r="M2205" s="521"/>
      <c r="N2205" s="521"/>
      <c r="O2205" s="521"/>
      <c r="P2205" s="521"/>
    </row>
    <row r="2206" spans="1:16" s="17" customFormat="1" ht="16.5" customHeight="1" x14ac:dyDescent="0.25">
      <c r="A2206" s="142">
        <v>1</v>
      </c>
      <c r="B2206" s="710">
        <v>2</v>
      </c>
      <c r="C2206" s="711"/>
      <c r="D2206" s="513">
        <v>3</v>
      </c>
      <c r="E2206" s="129">
        <v>4</v>
      </c>
      <c r="F2206" s="129">
        <v>5</v>
      </c>
      <c r="G2206" s="129">
        <v>6</v>
      </c>
      <c r="H2206" s="129">
        <v>7</v>
      </c>
      <c r="I2206" s="142">
        <v>8</v>
      </c>
      <c r="K2206" s="521"/>
      <c r="L2206" s="521"/>
      <c r="M2206" s="521"/>
      <c r="N2206" s="521"/>
      <c r="O2206" s="521"/>
      <c r="P2206" s="521"/>
    </row>
    <row r="2207" spans="1:16" s="17" customFormat="1" ht="16.5" customHeight="1" x14ac:dyDescent="0.25">
      <c r="A2207" s="81">
        <v>111</v>
      </c>
      <c r="B2207" s="716" t="s">
        <v>184</v>
      </c>
      <c r="C2207" s="717"/>
      <c r="D2207" s="5">
        <f>D676</f>
        <v>84114.91</v>
      </c>
      <c r="E2207" s="5">
        <f>E676</f>
        <v>116717.96</v>
      </c>
      <c r="F2207" s="5">
        <f>F676</f>
        <v>82514.86</v>
      </c>
      <c r="G2207" s="86">
        <f t="shared" ref="G2207:G2212" si="182">F2207/D2207</f>
        <v>0.98097780762055142</v>
      </c>
      <c r="H2207" s="87">
        <f t="shared" ref="H2207:H2212" si="183">F2207/E2207</f>
        <v>0.70695940881763175</v>
      </c>
      <c r="I2207" s="87">
        <f>F2207/F2212</f>
        <v>0.3378916744029925</v>
      </c>
      <c r="K2207" s="521"/>
      <c r="L2207" s="521"/>
      <c r="M2207" s="521"/>
      <c r="N2207" s="521"/>
      <c r="O2207" s="521"/>
      <c r="P2207" s="521"/>
    </row>
    <row r="2208" spans="1:16" s="17" customFormat="1" ht="16.5" customHeight="1" x14ac:dyDescent="0.25">
      <c r="A2208" s="81">
        <v>130</v>
      </c>
      <c r="B2208" s="716" t="s">
        <v>185</v>
      </c>
      <c r="C2208" s="717"/>
      <c r="D2208" s="434">
        <f>D891</f>
        <v>10923.24</v>
      </c>
      <c r="E2208" s="5">
        <f>E891</f>
        <v>16000</v>
      </c>
      <c r="F2208" s="434">
        <f>F891</f>
        <v>11690.21</v>
      </c>
      <c r="G2208" s="86">
        <f t="shared" si="182"/>
        <v>1.0702145151072391</v>
      </c>
      <c r="H2208" s="87">
        <f t="shared" si="183"/>
        <v>0.73063812499999992</v>
      </c>
      <c r="I2208" s="87">
        <f>F2208/F2212</f>
        <v>4.7870463950646064E-2</v>
      </c>
      <c r="K2208" s="521"/>
      <c r="L2208" s="521"/>
      <c r="M2208" s="521"/>
      <c r="N2208" s="521"/>
      <c r="O2208" s="521"/>
      <c r="P2208" s="521"/>
    </row>
    <row r="2209" spans="1:16" s="17" customFormat="1" ht="16.5" customHeight="1" x14ac:dyDescent="0.25">
      <c r="A2209" s="81">
        <v>132</v>
      </c>
      <c r="B2209" s="716" t="s">
        <v>186</v>
      </c>
      <c r="C2209" s="717"/>
      <c r="D2209" s="5">
        <v>0</v>
      </c>
      <c r="E2209" s="5">
        <v>0</v>
      </c>
      <c r="F2209" s="5">
        <v>0</v>
      </c>
      <c r="G2209" s="86" t="e">
        <f t="shared" si="182"/>
        <v>#DIV/0!</v>
      </c>
      <c r="H2209" s="87" t="e">
        <f t="shared" si="183"/>
        <v>#DIV/0!</v>
      </c>
      <c r="I2209" s="87">
        <f>F2209/F2212</f>
        <v>0</v>
      </c>
      <c r="K2209" s="521"/>
      <c r="L2209" s="521"/>
      <c r="M2209" s="521"/>
      <c r="N2209" s="521"/>
      <c r="O2209" s="521"/>
      <c r="P2209" s="521"/>
    </row>
    <row r="2210" spans="1:16" s="17" customFormat="1" ht="16.5" customHeight="1" x14ac:dyDescent="0.25">
      <c r="A2210" s="81">
        <v>200</v>
      </c>
      <c r="B2210" s="716" t="s">
        <v>187</v>
      </c>
      <c r="C2210" s="717"/>
      <c r="D2210" s="5">
        <v>0</v>
      </c>
      <c r="E2210" s="5">
        <v>0</v>
      </c>
      <c r="F2210" s="5">
        <v>0</v>
      </c>
      <c r="G2210" s="86" t="e">
        <f t="shared" si="182"/>
        <v>#DIV/0!</v>
      </c>
      <c r="H2210" s="87" t="e">
        <f t="shared" si="183"/>
        <v>#DIV/0!</v>
      </c>
      <c r="I2210" s="87">
        <f>F2210/F2212</f>
        <v>0</v>
      </c>
      <c r="K2210" s="521"/>
      <c r="L2210" s="521"/>
      <c r="M2210" s="521"/>
      <c r="N2210" s="521"/>
      <c r="O2210" s="521"/>
      <c r="P2210" s="521"/>
    </row>
    <row r="2211" spans="1:16" s="17" customFormat="1" ht="16.5" customHeight="1" x14ac:dyDescent="0.25">
      <c r="A2211" s="81">
        <v>300</v>
      </c>
      <c r="B2211" s="716" t="s">
        <v>188</v>
      </c>
      <c r="C2211" s="717"/>
      <c r="D2211" s="5">
        <f>D1267</f>
        <v>144642.84</v>
      </c>
      <c r="E2211" s="5">
        <f>E1267</f>
        <v>180000</v>
      </c>
      <c r="F2211" s="5">
        <f>F1267</f>
        <v>150000</v>
      </c>
      <c r="G2211" s="86">
        <f t="shared" si="182"/>
        <v>1.0370371599451449</v>
      </c>
      <c r="H2211" s="87">
        <f t="shared" si="183"/>
        <v>0.83333333333333337</v>
      </c>
      <c r="I2211" s="87">
        <f>F2211/F2212</f>
        <v>0.6142378616463614</v>
      </c>
      <c r="K2211" s="521"/>
      <c r="L2211" s="521"/>
      <c r="M2211" s="521"/>
      <c r="N2211" s="521"/>
      <c r="O2211" s="521"/>
      <c r="P2211" s="521"/>
    </row>
    <row r="2212" spans="1:16" s="17" customFormat="1" ht="16.5" customHeight="1" x14ac:dyDescent="0.25">
      <c r="A2212" s="146"/>
      <c r="B2212" s="718" t="s">
        <v>84</v>
      </c>
      <c r="C2212" s="719"/>
      <c r="D2212" s="465">
        <f>D2207+D2208+D2209+D2210+D2211</f>
        <v>239680.99</v>
      </c>
      <c r="E2212" s="465">
        <f>E2207+E2208+E2209+E2210+E2211</f>
        <v>312717.96000000002</v>
      </c>
      <c r="F2212" s="383">
        <f>F2207+F2208+F2209+F2210+F2211</f>
        <v>244205.07</v>
      </c>
      <c r="G2212" s="169">
        <f t="shared" si="182"/>
        <v>1.0188754227024848</v>
      </c>
      <c r="H2212" s="137">
        <f t="shared" si="183"/>
        <v>0.78091156005238715</v>
      </c>
      <c r="I2212" s="137">
        <f>SUM(I2207:I2211)</f>
        <v>1</v>
      </c>
      <c r="K2212" s="521"/>
      <c r="L2212" s="521"/>
      <c r="M2212" s="521"/>
      <c r="N2212" s="521"/>
      <c r="O2212" s="521"/>
      <c r="P2212" s="521"/>
    </row>
    <row r="2213" spans="1:16" s="17" customFormat="1" ht="16.5" customHeight="1" x14ac:dyDescent="0.25">
      <c r="A2213" s="170"/>
      <c r="B2213" s="542"/>
      <c r="C2213" s="542"/>
      <c r="D2213" s="291"/>
      <c r="E2213" s="291"/>
      <c r="F2213" s="171"/>
      <c r="G2213" s="172"/>
      <c r="H2213" s="191"/>
      <c r="I2213" s="284"/>
      <c r="K2213" s="521"/>
      <c r="L2213" s="521"/>
      <c r="M2213" s="521"/>
      <c r="N2213" s="521"/>
      <c r="O2213" s="521"/>
      <c r="P2213" s="521"/>
    </row>
    <row r="2214" spans="1:16" s="17" customFormat="1" ht="16.5" customHeight="1" x14ac:dyDescent="0.25">
      <c r="A2214" s="310"/>
      <c r="B2214" s="747" t="s">
        <v>918</v>
      </c>
      <c r="C2214" s="747"/>
      <c r="D2214" s="747"/>
      <c r="E2214" s="747"/>
      <c r="F2214" s="747"/>
      <c r="G2214" s="747"/>
      <c r="H2214" s="747"/>
      <c r="I2214" s="747"/>
      <c r="K2214" s="521"/>
      <c r="L2214" s="521"/>
      <c r="M2214" s="521"/>
      <c r="N2214" s="521"/>
      <c r="O2214" s="521"/>
      <c r="P2214" s="521"/>
    </row>
    <row r="2215" spans="1:16" s="17" customFormat="1" ht="16.5" customHeight="1" x14ac:dyDescent="0.25">
      <c r="A2215" s="747" t="s">
        <v>919</v>
      </c>
      <c r="B2215" s="747"/>
      <c r="C2215" s="747"/>
      <c r="D2215" s="747"/>
      <c r="E2215" s="747"/>
      <c r="F2215" s="747"/>
      <c r="G2215" s="747"/>
      <c r="H2215" s="747"/>
      <c r="I2215" s="747"/>
      <c r="K2215" s="521"/>
      <c r="L2215" s="521"/>
      <c r="M2215" s="521"/>
      <c r="N2215" s="521"/>
      <c r="O2215" s="521"/>
      <c r="P2215" s="521"/>
    </row>
    <row r="2216" spans="1:16" s="17" customFormat="1" ht="16.5" customHeight="1" x14ac:dyDescent="0.25">
      <c r="A2216" s="726" t="s">
        <v>920</v>
      </c>
      <c r="B2216" s="726"/>
      <c r="C2216" s="726"/>
      <c r="D2216" s="726"/>
      <c r="E2216" s="726"/>
      <c r="F2216" s="726"/>
      <c r="G2216" s="726"/>
      <c r="H2216" s="726"/>
      <c r="I2216" s="726"/>
      <c r="K2216" s="521"/>
      <c r="L2216" s="521"/>
      <c r="M2216" s="521"/>
      <c r="N2216" s="521"/>
      <c r="O2216" s="521"/>
      <c r="P2216" s="521"/>
    </row>
    <row r="2217" spans="1:16" s="17" customFormat="1" ht="16.5" customHeight="1" x14ac:dyDescent="0.25">
      <c r="A2217" s="721" t="s">
        <v>921</v>
      </c>
      <c r="B2217" s="721"/>
      <c r="C2217" s="721"/>
      <c r="D2217" s="721"/>
      <c r="E2217" s="721"/>
      <c r="F2217" s="721"/>
      <c r="G2217" s="721"/>
      <c r="H2217" s="721"/>
      <c r="I2217" s="721"/>
      <c r="K2217" s="521"/>
      <c r="L2217" s="521"/>
      <c r="M2217" s="521"/>
      <c r="N2217" s="521"/>
      <c r="O2217" s="521"/>
      <c r="P2217" s="521"/>
    </row>
    <row r="2218" spans="1:16" s="17" customFormat="1" ht="16.5" customHeight="1" x14ac:dyDescent="0.25">
      <c r="A2218" s="721" t="s">
        <v>922</v>
      </c>
      <c r="B2218" s="721"/>
      <c r="C2218" s="721"/>
      <c r="D2218" s="721"/>
      <c r="E2218" s="721"/>
      <c r="F2218" s="721"/>
      <c r="G2218" s="721"/>
      <c r="H2218" s="721"/>
      <c r="I2218" s="721"/>
      <c r="K2218" s="521"/>
      <c r="L2218" s="521"/>
      <c r="M2218" s="521"/>
      <c r="N2218" s="521"/>
      <c r="O2218" s="521"/>
      <c r="P2218" s="521"/>
    </row>
    <row r="2219" spans="1:16" s="17" customFormat="1" ht="16.5" customHeight="1" x14ac:dyDescent="0.25">
      <c r="A2219" s="721" t="s">
        <v>923</v>
      </c>
      <c r="B2219" s="721"/>
      <c r="C2219" s="721"/>
      <c r="D2219" s="721"/>
      <c r="E2219" s="721"/>
      <c r="F2219" s="721"/>
      <c r="G2219" s="721"/>
      <c r="H2219" s="721"/>
      <c r="I2219" s="721"/>
      <c r="K2219" s="521"/>
      <c r="L2219" s="521"/>
      <c r="M2219" s="521"/>
      <c r="N2219" s="521"/>
      <c r="O2219" s="521"/>
      <c r="P2219" s="521"/>
    </row>
    <row r="2220" spans="1:16" s="17" customFormat="1" ht="16.5" customHeight="1" x14ac:dyDescent="0.25">
      <c r="A2220" s="721" t="s">
        <v>924</v>
      </c>
      <c r="B2220" s="721"/>
      <c r="C2220" s="721"/>
      <c r="D2220" s="721"/>
      <c r="E2220" s="721"/>
      <c r="F2220" s="721"/>
      <c r="G2220" s="721"/>
      <c r="H2220" s="721"/>
      <c r="I2220" s="721"/>
      <c r="K2220" s="521"/>
      <c r="L2220" s="521"/>
      <c r="M2220" s="521"/>
      <c r="N2220" s="521"/>
      <c r="O2220" s="521"/>
      <c r="P2220" s="521"/>
    </row>
    <row r="2221" spans="1:16" s="17" customFormat="1" ht="16.5" customHeight="1" x14ac:dyDescent="0.25">
      <c r="A2221" s="541" t="s">
        <v>925</v>
      </c>
      <c r="B2221" s="541"/>
      <c r="C2221" s="541"/>
      <c r="D2221" s="541"/>
      <c r="E2221" s="541"/>
      <c r="F2221" s="541"/>
      <c r="G2221" s="541"/>
      <c r="H2221" s="541"/>
      <c r="I2221" s="541"/>
      <c r="K2221" s="521"/>
      <c r="L2221" s="521"/>
      <c r="M2221" s="521"/>
      <c r="N2221" s="521"/>
      <c r="O2221" s="521"/>
      <c r="P2221" s="521"/>
    </row>
    <row r="2222" spans="1:16" s="17" customFormat="1" ht="16.5" customHeight="1" x14ac:dyDescent="0.25">
      <c r="A2222" s="720" t="s">
        <v>926</v>
      </c>
      <c r="B2222" s="720"/>
      <c r="C2222" s="720"/>
      <c r="D2222" s="720"/>
      <c r="E2222" s="720"/>
      <c r="F2222" s="720"/>
      <c r="G2222" s="720"/>
      <c r="H2222" s="720"/>
      <c r="I2222" s="720"/>
      <c r="K2222" s="521"/>
      <c r="L2222" s="521"/>
      <c r="M2222" s="521"/>
      <c r="N2222" s="521"/>
      <c r="O2222" s="521"/>
      <c r="P2222" s="521"/>
    </row>
    <row r="2223" spans="1:16" s="17" customFormat="1" ht="16.5" customHeight="1" x14ac:dyDescent="0.25">
      <c r="A2223" s="524"/>
      <c r="B2223" s="524"/>
      <c r="C2223" s="524"/>
      <c r="D2223" s="524"/>
      <c r="E2223" s="524"/>
      <c r="F2223" s="524"/>
      <c r="G2223" s="524"/>
      <c r="H2223" s="524"/>
      <c r="I2223" s="524"/>
      <c r="K2223" s="521"/>
      <c r="L2223" s="521"/>
      <c r="M2223" s="521"/>
      <c r="N2223" s="521"/>
      <c r="O2223" s="521"/>
      <c r="P2223" s="521"/>
    </row>
    <row r="2224" spans="1:16" s="17" customFormat="1" ht="16.5" customHeight="1" x14ac:dyDescent="0.25">
      <c r="A2224" s="537"/>
      <c r="B2224" s="537"/>
      <c r="C2224" s="537"/>
      <c r="D2224" s="537"/>
      <c r="E2224" s="537"/>
      <c r="F2224" s="537"/>
      <c r="G2224" s="537"/>
      <c r="H2224" s="537"/>
      <c r="I2224" s="216"/>
      <c r="K2224" s="521"/>
      <c r="L2224" s="521"/>
      <c r="M2224" s="521"/>
      <c r="N2224" s="521"/>
      <c r="O2224" s="521"/>
      <c r="P2224" s="521"/>
    </row>
    <row r="2225" spans="1:16" s="17" customFormat="1" ht="16.5" customHeight="1" x14ac:dyDescent="0.25">
      <c r="A2225" s="537"/>
      <c r="B2225" s="537"/>
      <c r="C2225" s="537"/>
      <c r="D2225" s="537"/>
      <c r="E2225" s="537"/>
      <c r="F2225" s="537"/>
      <c r="G2225" s="537"/>
      <c r="H2225" s="537"/>
      <c r="I2225" s="575"/>
      <c r="K2225" s="521"/>
      <c r="L2225" s="521"/>
      <c r="M2225" s="521"/>
      <c r="N2225" s="521"/>
      <c r="O2225" s="521"/>
      <c r="P2225" s="521"/>
    </row>
    <row r="2226" spans="1:16" s="17" customFormat="1" ht="16.5" customHeight="1" x14ac:dyDescent="0.25">
      <c r="A2226" s="540"/>
      <c r="B2226" s="722" t="s">
        <v>355</v>
      </c>
      <c r="C2226" s="722"/>
      <c r="D2226" s="722"/>
      <c r="E2226" s="540"/>
      <c r="F2226" s="540"/>
      <c r="G2226" s="541"/>
      <c r="H2226" s="260"/>
      <c r="I2226" s="39"/>
      <c r="K2226" s="521"/>
      <c r="L2226" s="521"/>
      <c r="M2226" s="521"/>
      <c r="N2226" s="521"/>
      <c r="O2226" s="521"/>
      <c r="P2226" s="521"/>
    </row>
    <row r="2227" spans="1:16" s="17" customFormat="1" ht="16.5" customHeight="1" x14ac:dyDescent="0.25">
      <c r="A2227" s="540"/>
      <c r="B2227" s="259"/>
      <c r="C2227" s="259"/>
      <c r="D2227" s="259"/>
      <c r="E2227" s="540"/>
      <c r="F2227" s="540"/>
      <c r="G2227" s="541"/>
      <c r="H2227" s="260"/>
      <c r="I2227" s="245"/>
      <c r="K2227" s="521"/>
      <c r="L2227" s="521"/>
      <c r="M2227" s="521"/>
      <c r="N2227" s="521"/>
      <c r="O2227" s="521"/>
      <c r="P2227" s="521"/>
    </row>
    <row r="2228" spans="1:16" s="17" customFormat="1" ht="16.5" customHeight="1" x14ac:dyDescent="0.25">
      <c r="A2228" s="742" t="s">
        <v>927</v>
      </c>
      <c r="B2228" s="742"/>
      <c r="C2228" s="742"/>
      <c r="D2228" s="742"/>
      <c r="E2228" s="742"/>
      <c r="F2228" s="742"/>
      <c r="G2228" s="742"/>
      <c r="H2228" s="742"/>
      <c r="I2228" s="742"/>
      <c r="K2228" s="521"/>
      <c r="L2228" s="521"/>
      <c r="M2228" s="521"/>
      <c r="N2228" s="521"/>
      <c r="O2228" s="521"/>
      <c r="P2228" s="521"/>
    </row>
    <row r="2229" spans="1:16" s="17" customFormat="1" ht="16.5" customHeight="1" x14ac:dyDescent="0.25">
      <c r="A2229" s="715" t="s">
        <v>928</v>
      </c>
      <c r="B2229" s="715"/>
      <c r="C2229" s="715"/>
      <c r="D2229" s="715"/>
      <c r="E2229" s="715"/>
      <c r="F2229" s="715"/>
      <c r="G2229" s="715"/>
      <c r="H2229" s="715"/>
      <c r="I2229" s="715"/>
      <c r="K2229" s="521"/>
      <c r="L2229" s="521"/>
      <c r="M2229" s="521"/>
      <c r="N2229" s="521"/>
      <c r="O2229" s="521"/>
      <c r="P2229" s="521"/>
    </row>
    <row r="2230" spans="1:16" s="17" customFormat="1" ht="16.5" customHeight="1" x14ac:dyDescent="0.25">
      <c r="A2230" s="192"/>
      <c r="B2230" s="214"/>
      <c r="C2230" s="15"/>
      <c r="D2230" s="537"/>
      <c r="E2230" s="701" t="s">
        <v>85</v>
      </c>
      <c r="F2230" s="537"/>
      <c r="G2230" s="192"/>
      <c r="H2230" s="537"/>
      <c r="I2230" s="537"/>
      <c r="K2230" s="521"/>
      <c r="L2230" s="521"/>
      <c r="M2230" s="521"/>
      <c r="N2230" s="521"/>
      <c r="O2230" s="521"/>
      <c r="P2230" s="521"/>
    </row>
    <row r="2231" spans="1:16" s="17" customFormat="1" ht="16.5" customHeight="1" x14ac:dyDescent="0.25">
      <c r="A2231" s="192"/>
      <c r="B2231" s="214"/>
      <c r="C2231" s="15"/>
      <c r="D2231" s="537"/>
      <c r="E2231" s="746"/>
      <c r="F2231" s="537"/>
      <c r="G2231" s="192"/>
      <c r="H2231" s="537"/>
      <c r="I2231" s="537"/>
      <c r="K2231" s="521"/>
      <c r="L2231" s="521"/>
      <c r="M2231" s="521"/>
      <c r="N2231" s="521"/>
      <c r="O2231" s="521"/>
      <c r="P2231" s="521"/>
    </row>
    <row r="2232" spans="1:16" s="17" customFormat="1" ht="12" customHeight="1" x14ac:dyDescent="0.25">
      <c r="A2232" s="557" t="s">
        <v>48</v>
      </c>
      <c r="B2232" s="702" t="s">
        <v>49</v>
      </c>
      <c r="C2232" s="703"/>
      <c r="D2232" s="380" t="s">
        <v>86</v>
      </c>
      <c r="E2232" s="530" t="s">
        <v>152</v>
      </c>
      <c r="F2232" s="40" t="s">
        <v>87</v>
      </c>
      <c r="G2232" s="706" t="s">
        <v>52</v>
      </c>
      <c r="H2232" s="707"/>
      <c r="I2232" s="708" t="s">
        <v>53</v>
      </c>
      <c r="K2232" s="521"/>
      <c r="L2232" s="521"/>
      <c r="M2232" s="521"/>
      <c r="N2232" s="521"/>
      <c r="O2232" s="521"/>
      <c r="P2232" s="521"/>
    </row>
    <row r="2233" spans="1:16" s="17" customFormat="1" ht="16.5" customHeight="1" x14ac:dyDescent="0.25">
      <c r="A2233" s="574" t="s">
        <v>88</v>
      </c>
      <c r="B2233" s="704"/>
      <c r="C2233" s="705"/>
      <c r="D2233" s="381" t="s">
        <v>541</v>
      </c>
      <c r="E2233" s="41" t="s">
        <v>573</v>
      </c>
      <c r="F2233" s="41" t="s">
        <v>607</v>
      </c>
      <c r="G2233" s="24" t="s">
        <v>55</v>
      </c>
      <c r="H2233" s="24" t="s">
        <v>56</v>
      </c>
      <c r="I2233" s="709"/>
      <c r="K2233" s="521"/>
      <c r="L2233" s="521"/>
      <c r="M2233" s="521"/>
      <c r="N2233" s="521"/>
      <c r="O2233" s="521"/>
      <c r="P2233" s="521"/>
    </row>
    <row r="2234" spans="1:16" s="17" customFormat="1" ht="16.5" customHeight="1" x14ac:dyDescent="0.25">
      <c r="A2234" s="142">
        <v>1</v>
      </c>
      <c r="B2234" s="710">
        <v>2</v>
      </c>
      <c r="C2234" s="711"/>
      <c r="D2234" s="513">
        <v>3</v>
      </c>
      <c r="E2234" s="129">
        <v>4</v>
      </c>
      <c r="F2234" s="129">
        <v>5</v>
      </c>
      <c r="G2234" s="129">
        <v>6</v>
      </c>
      <c r="H2234" s="129">
        <v>7</v>
      </c>
      <c r="I2234" s="142">
        <v>8</v>
      </c>
      <c r="K2234" s="521"/>
      <c r="L2234" s="521"/>
      <c r="M2234" s="521"/>
      <c r="N2234" s="521"/>
      <c r="O2234" s="521"/>
      <c r="P2234" s="521"/>
    </row>
    <row r="2235" spans="1:16" s="17" customFormat="1" ht="16.5" customHeight="1" x14ac:dyDescent="0.25">
      <c r="A2235" s="81">
        <v>111</v>
      </c>
      <c r="B2235" s="716" t="s">
        <v>184</v>
      </c>
      <c r="C2235" s="717"/>
      <c r="D2235" s="5">
        <f>D678</f>
        <v>24506.29</v>
      </c>
      <c r="E2235" s="5">
        <f>E678</f>
        <v>33064.410000000003</v>
      </c>
      <c r="F2235" s="5">
        <f>F678</f>
        <v>24724.73</v>
      </c>
      <c r="G2235" s="86">
        <f t="shared" ref="G2235:G2240" si="184">F2235/D2235</f>
        <v>1.0089136299292956</v>
      </c>
      <c r="H2235" s="87">
        <f t="shared" ref="H2235:H2240" si="185">F2235/E2235</f>
        <v>0.7477747221256934</v>
      </c>
      <c r="I2235" s="87">
        <f>F2235/F2240</f>
        <v>0.86830428242866564</v>
      </c>
      <c r="K2235" s="521"/>
      <c r="L2235" s="521"/>
      <c r="M2235" s="521"/>
      <c r="N2235" s="521"/>
      <c r="O2235" s="521"/>
      <c r="P2235" s="521"/>
    </row>
    <row r="2236" spans="1:16" s="17" customFormat="1" ht="16.5" customHeight="1" x14ac:dyDescent="0.25">
      <c r="A2236" s="81">
        <v>130</v>
      </c>
      <c r="B2236" s="716" t="s">
        <v>185</v>
      </c>
      <c r="C2236" s="717"/>
      <c r="D2236" s="102">
        <f>D893</f>
        <v>2109.06</v>
      </c>
      <c r="E2236" s="266">
        <f>E893</f>
        <v>5000</v>
      </c>
      <c r="F2236" s="102">
        <f>F893</f>
        <v>3750</v>
      </c>
      <c r="G2236" s="86">
        <f t="shared" si="184"/>
        <v>1.7780432989104151</v>
      </c>
      <c r="H2236" s="87">
        <f t="shared" si="185"/>
        <v>0.75</v>
      </c>
      <c r="I2236" s="87">
        <f>F2236/F2240</f>
        <v>0.1316957175713343</v>
      </c>
      <c r="K2236" s="521"/>
      <c r="L2236" s="521"/>
      <c r="M2236" s="521"/>
      <c r="N2236" s="521"/>
      <c r="O2236" s="521"/>
      <c r="P2236" s="521"/>
    </row>
    <row r="2237" spans="1:16" s="17" customFormat="1" ht="16.5" customHeight="1" x14ac:dyDescent="0.25">
      <c r="A2237" s="81">
        <v>132</v>
      </c>
      <c r="B2237" s="716" t="s">
        <v>186</v>
      </c>
      <c r="C2237" s="717"/>
      <c r="D2237" s="5">
        <v>0</v>
      </c>
      <c r="E2237" s="145">
        <f>0+0+0+0</f>
        <v>0</v>
      </c>
      <c r="F2237" s="5">
        <v>0</v>
      </c>
      <c r="G2237" s="86" t="e">
        <f t="shared" si="184"/>
        <v>#DIV/0!</v>
      </c>
      <c r="H2237" s="87" t="e">
        <f t="shared" si="185"/>
        <v>#DIV/0!</v>
      </c>
      <c r="I2237" s="87">
        <f>F2237/F2240</f>
        <v>0</v>
      </c>
      <c r="K2237" s="521"/>
      <c r="L2237" s="521"/>
      <c r="M2237" s="521"/>
      <c r="N2237" s="521"/>
      <c r="O2237" s="521"/>
      <c r="P2237" s="521"/>
    </row>
    <row r="2238" spans="1:16" s="17" customFormat="1" ht="16.5" customHeight="1" x14ac:dyDescent="0.25">
      <c r="A2238" s="81">
        <v>200</v>
      </c>
      <c r="B2238" s="716" t="s">
        <v>187</v>
      </c>
      <c r="C2238" s="717"/>
      <c r="D2238" s="5">
        <f>D1161</f>
        <v>29650</v>
      </c>
      <c r="E2238" s="156">
        <f>E1161</f>
        <v>0</v>
      </c>
      <c r="F2238" s="5">
        <f>F1161</f>
        <v>0</v>
      </c>
      <c r="G2238" s="86">
        <f t="shared" si="184"/>
        <v>0</v>
      </c>
      <c r="H2238" s="87" t="e">
        <f t="shared" si="185"/>
        <v>#DIV/0!</v>
      </c>
      <c r="I2238" s="87">
        <f>F2238/F2240</f>
        <v>0</v>
      </c>
      <c r="K2238" s="521"/>
      <c r="L2238" s="521"/>
      <c r="M2238" s="521"/>
      <c r="N2238" s="521"/>
      <c r="O2238" s="521"/>
      <c r="P2238" s="521"/>
    </row>
    <row r="2239" spans="1:16" s="17" customFormat="1" ht="16.5" customHeight="1" x14ac:dyDescent="0.25">
      <c r="A2239" s="81">
        <v>300</v>
      </c>
      <c r="B2239" s="716" t="s">
        <v>188</v>
      </c>
      <c r="C2239" s="717"/>
      <c r="D2239" s="5">
        <f>D1269</f>
        <v>0</v>
      </c>
      <c r="E2239" s="5">
        <f>E1269</f>
        <v>0</v>
      </c>
      <c r="F2239" s="5">
        <f>F1269</f>
        <v>0</v>
      </c>
      <c r="G2239" s="86" t="e">
        <f t="shared" si="184"/>
        <v>#DIV/0!</v>
      </c>
      <c r="H2239" s="87" t="e">
        <f t="shared" si="185"/>
        <v>#DIV/0!</v>
      </c>
      <c r="I2239" s="87">
        <f>F2239/F2240</f>
        <v>0</v>
      </c>
      <c r="K2239" s="521"/>
      <c r="L2239" s="521"/>
      <c r="M2239" s="521"/>
      <c r="N2239" s="521"/>
      <c r="O2239" s="521"/>
      <c r="P2239" s="521"/>
    </row>
    <row r="2240" spans="1:16" s="17" customFormat="1" ht="16.5" customHeight="1" x14ac:dyDescent="0.25">
      <c r="A2240" s="146"/>
      <c r="B2240" s="509" t="s">
        <v>84</v>
      </c>
      <c r="C2240" s="510"/>
      <c r="D2240" s="465">
        <f>D2235+D2236+D2237+D2238+D2239</f>
        <v>56265.350000000006</v>
      </c>
      <c r="E2240" s="465">
        <f>E2235+E2236+E2237+E2238+E2239</f>
        <v>38064.410000000003</v>
      </c>
      <c r="F2240" s="383">
        <f>F2235+F2236+F2237+F2238+F2239</f>
        <v>28474.73</v>
      </c>
      <c r="G2240" s="169">
        <f t="shared" si="184"/>
        <v>0.50607931879922541</v>
      </c>
      <c r="H2240" s="137">
        <f t="shared" si="185"/>
        <v>0.74806702639026845</v>
      </c>
      <c r="I2240" s="174">
        <f>SUM(I2235:I2239)</f>
        <v>1</v>
      </c>
      <c r="K2240" s="521"/>
      <c r="L2240" s="521"/>
      <c r="M2240" s="521"/>
      <c r="N2240" s="521"/>
      <c r="O2240" s="521"/>
      <c r="P2240" s="521"/>
    </row>
    <row r="2241" spans="1:16" s="17" customFormat="1" ht="16.5" customHeight="1" x14ac:dyDescent="0.25">
      <c r="A2241" s="275"/>
      <c r="B2241" s="275"/>
      <c r="C2241" s="275"/>
      <c r="D2241" s="275"/>
      <c r="E2241" s="275"/>
      <c r="F2241" s="275"/>
      <c r="G2241" s="537"/>
      <c r="H2241" s="541"/>
      <c r="I2241" s="279"/>
      <c r="K2241" s="521"/>
      <c r="L2241" s="521"/>
      <c r="M2241" s="521"/>
      <c r="N2241" s="521"/>
      <c r="O2241" s="521"/>
      <c r="P2241" s="521"/>
    </row>
    <row r="2242" spans="1:16" s="17" customFormat="1" ht="12" customHeight="1" x14ac:dyDescent="0.25">
      <c r="A2242" s="586" t="s">
        <v>929</v>
      </c>
      <c r="B2242" s="586"/>
      <c r="C2242" s="586"/>
      <c r="D2242" s="586"/>
      <c r="E2242" s="586"/>
      <c r="F2242" s="586"/>
      <c r="G2242" s="586"/>
      <c r="H2242" s="586"/>
      <c r="I2242" s="586"/>
      <c r="K2242" s="521"/>
      <c r="L2242" s="521"/>
      <c r="M2242" s="521"/>
      <c r="N2242" s="521"/>
      <c r="O2242" s="521"/>
      <c r="P2242" s="521"/>
    </row>
    <row r="2243" spans="1:16" s="17" customFormat="1" ht="12" customHeight="1" x14ac:dyDescent="0.25">
      <c r="A2243" s="714" t="s">
        <v>930</v>
      </c>
      <c r="B2243" s="714"/>
      <c r="C2243" s="714"/>
      <c r="D2243" s="714"/>
      <c r="E2243" s="714"/>
      <c r="F2243" s="714"/>
      <c r="G2243" s="714"/>
      <c r="H2243" s="714"/>
      <c r="I2243" s="714"/>
      <c r="K2243" s="521"/>
      <c r="L2243" s="521"/>
      <c r="M2243" s="521"/>
      <c r="N2243" s="521"/>
      <c r="O2243" s="521"/>
      <c r="P2243" s="521"/>
    </row>
    <row r="2244" spans="1:16" s="17" customFormat="1" ht="16.5" customHeight="1" x14ac:dyDescent="0.25">
      <c r="A2244" s="714" t="s">
        <v>931</v>
      </c>
      <c r="B2244" s="714"/>
      <c r="C2244" s="714"/>
      <c r="D2244" s="714"/>
      <c r="E2244" s="714"/>
      <c r="F2244" s="714"/>
      <c r="G2244" s="714"/>
      <c r="H2244" s="714"/>
      <c r="I2244" s="714"/>
      <c r="K2244" s="521"/>
      <c r="L2244" s="521"/>
      <c r="M2244" s="521"/>
      <c r="N2244" s="521"/>
      <c r="O2244" s="521"/>
      <c r="P2244" s="521"/>
    </row>
    <row r="2245" spans="1:16" s="17" customFormat="1" ht="16.5" customHeight="1" x14ac:dyDescent="0.25">
      <c r="A2245" s="523" t="s">
        <v>932</v>
      </c>
      <c r="B2245" s="523"/>
      <c r="C2245" s="523"/>
      <c r="D2245" s="523"/>
      <c r="E2245" s="523"/>
      <c r="F2245" s="523"/>
      <c r="G2245" s="523"/>
      <c r="H2245" s="523"/>
      <c r="I2245" s="523"/>
      <c r="K2245" s="521"/>
      <c r="L2245" s="521"/>
      <c r="M2245" s="521"/>
      <c r="N2245" s="521"/>
      <c r="O2245" s="521"/>
      <c r="P2245" s="521"/>
    </row>
    <row r="2246" spans="1:16" s="17" customFormat="1" ht="16.5" customHeight="1" x14ac:dyDescent="0.25">
      <c r="A2246" s="523"/>
      <c r="B2246" s="523" t="s">
        <v>933</v>
      </c>
      <c r="C2246" s="523"/>
      <c r="D2246" s="523"/>
      <c r="E2246" s="523"/>
      <c r="F2246" s="523"/>
      <c r="G2246" s="523"/>
      <c r="H2246" s="523"/>
      <c r="I2246" s="192"/>
      <c r="K2246" s="521"/>
      <c r="L2246" s="521"/>
      <c r="M2246" s="521"/>
      <c r="N2246" s="521"/>
      <c r="O2246" s="521"/>
      <c r="P2246" s="521"/>
    </row>
    <row r="2247" spans="1:16" s="17" customFormat="1" ht="16.5" customHeight="1" x14ac:dyDescent="0.25">
      <c r="A2247" s="686"/>
      <c r="B2247" s="686"/>
      <c r="C2247" s="686"/>
      <c r="D2247" s="686"/>
      <c r="E2247" s="686"/>
      <c r="F2247" s="686"/>
      <c r="G2247" s="686"/>
      <c r="H2247" s="686"/>
      <c r="I2247" s="192"/>
      <c r="K2247" s="696"/>
      <c r="L2247" s="696"/>
      <c r="M2247" s="696"/>
      <c r="N2247" s="696"/>
      <c r="O2247" s="696"/>
      <c r="P2247" s="696"/>
    </row>
    <row r="2248" spans="1:16" s="17" customFormat="1" ht="16.5" customHeight="1" x14ac:dyDescent="0.25">
      <c r="A2248" s="686"/>
      <c r="B2248" s="686"/>
      <c r="C2248" s="686"/>
      <c r="D2248" s="686"/>
      <c r="E2248" s="686"/>
      <c r="F2248" s="686"/>
      <c r="G2248" s="686"/>
      <c r="H2248" s="686"/>
      <c r="I2248" s="192"/>
      <c r="K2248" s="696"/>
      <c r="L2248" s="696"/>
      <c r="M2248" s="696"/>
      <c r="N2248" s="696"/>
      <c r="O2248" s="696"/>
      <c r="P2248" s="696"/>
    </row>
    <row r="2249" spans="1:16" s="17" customFormat="1" ht="16.5" customHeight="1" x14ac:dyDescent="0.25">
      <c r="A2249" s="686"/>
      <c r="B2249" s="686"/>
      <c r="C2249" s="686"/>
      <c r="D2249" s="686"/>
      <c r="E2249" s="686"/>
      <c r="F2249" s="686"/>
      <c r="G2249" s="686"/>
      <c r="H2249" s="686"/>
      <c r="I2249" s="192"/>
      <c r="K2249" s="696"/>
      <c r="L2249" s="696"/>
      <c r="M2249" s="696"/>
      <c r="N2249" s="696"/>
      <c r="O2249" s="696"/>
      <c r="P2249" s="696"/>
    </row>
    <row r="2250" spans="1:16" s="17" customFormat="1" ht="16.5" customHeight="1" x14ac:dyDescent="0.25">
      <c r="A2250" s="686"/>
      <c r="B2250" s="686"/>
      <c r="C2250" s="686"/>
      <c r="D2250" s="686"/>
      <c r="E2250" s="686"/>
      <c r="F2250" s="686"/>
      <c r="G2250" s="686"/>
      <c r="H2250" s="686"/>
      <c r="I2250" s="192"/>
      <c r="K2250" s="696"/>
      <c r="L2250" s="696"/>
      <c r="M2250" s="696"/>
      <c r="N2250" s="696"/>
      <c r="O2250" s="696"/>
      <c r="P2250" s="696"/>
    </row>
    <row r="2251" spans="1:16" s="17" customFormat="1" ht="16.5" customHeight="1" x14ac:dyDescent="0.25">
      <c r="A2251" s="686"/>
      <c r="B2251" s="686"/>
      <c r="C2251" s="686"/>
      <c r="D2251" s="686"/>
      <c r="E2251" s="686"/>
      <c r="F2251" s="686"/>
      <c r="G2251" s="686"/>
      <c r="H2251" s="686"/>
      <c r="I2251" s="192"/>
      <c r="K2251" s="696"/>
      <c r="L2251" s="696"/>
      <c r="M2251" s="696"/>
      <c r="N2251" s="696"/>
      <c r="O2251" s="696"/>
      <c r="P2251" s="696"/>
    </row>
    <row r="2252" spans="1:16" s="17" customFormat="1" ht="16.5" customHeight="1" x14ac:dyDescent="0.25">
      <c r="A2252" s="686"/>
      <c r="B2252" s="686"/>
      <c r="C2252" s="686"/>
      <c r="D2252" s="686"/>
      <c r="E2252" s="686"/>
      <c r="F2252" s="686"/>
      <c r="G2252" s="686"/>
      <c r="H2252" s="686"/>
      <c r="I2252" s="192"/>
      <c r="K2252" s="696"/>
      <c r="L2252" s="696"/>
      <c r="M2252" s="696"/>
      <c r="N2252" s="696"/>
      <c r="O2252" s="696"/>
      <c r="P2252" s="696"/>
    </row>
    <row r="2253" spans="1:16" s="17" customFormat="1" ht="16.5" customHeight="1" x14ac:dyDescent="0.25">
      <c r="A2253" s="686"/>
      <c r="B2253" s="686"/>
      <c r="C2253" s="686"/>
      <c r="D2253" s="686"/>
      <c r="E2253" s="686"/>
      <c r="F2253" s="686"/>
      <c r="G2253" s="686"/>
      <c r="H2253" s="686"/>
      <c r="I2253" s="192"/>
      <c r="K2253" s="696"/>
      <c r="L2253" s="696"/>
      <c r="M2253" s="696"/>
      <c r="N2253" s="696"/>
      <c r="O2253" s="696"/>
      <c r="P2253" s="696"/>
    </row>
    <row r="2254" spans="1:16" s="17" customFormat="1" ht="16.5" customHeight="1" x14ac:dyDescent="0.25">
      <c r="A2254" s="686"/>
      <c r="B2254" s="686"/>
      <c r="C2254" s="686"/>
      <c r="D2254" s="686"/>
      <c r="E2254" s="686"/>
      <c r="F2254" s="686"/>
      <c r="G2254" s="686"/>
      <c r="H2254" s="686"/>
      <c r="I2254" s="192"/>
      <c r="K2254" s="696"/>
      <c r="L2254" s="696"/>
      <c r="M2254" s="696"/>
      <c r="N2254" s="696"/>
      <c r="O2254" s="696"/>
      <c r="P2254" s="696"/>
    </row>
    <row r="2255" spans="1:16" s="17" customFormat="1" ht="16.5" customHeight="1" x14ac:dyDescent="0.25">
      <c r="A2255" s="686"/>
      <c r="B2255" s="686"/>
      <c r="C2255" s="686"/>
      <c r="D2255" s="686"/>
      <c r="E2255" s="686"/>
      <c r="F2255" s="686"/>
      <c r="G2255" s="686"/>
      <c r="H2255" s="686"/>
      <c r="I2255" s="192"/>
      <c r="K2255" s="696"/>
      <c r="L2255" s="696"/>
      <c r="M2255" s="696"/>
      <c r="N2255" s="696"/>
      <c r="O2255" s="696"/>
      <c r="P2255" s="696"/>
    </row>
    <row r="2256" spans="1:16" s="17" customFormat="1" ht="16.5" customHeight="1" x14ac:dyDescent="0.25">
      <c r="A2256" s="686"/>
      <c r="B2256" s="686"/>
      <c r="C2256" s="686"/>
      <c r="D2256" s="686"/>
      <c r="E2256" s="686"/>
      <c r="F2256" s="686"/>
      <c r="G2256" s="686"/>
      <c r="H2256" s="686"/>
      <c r="I2256" s="192"/>
      <c r="K2256" s="696"/>
      <c r="L2256" s="696"/>
      <c r="M2256" s="696"/>
      <c r="N2256" s="696"/>
      <c r="O2256" s="696"/>
      <c r="P2256" s="696"/>
    </row>
    <row r="2257" spans="1:16" s="17" customFormat="1" ht="16.5" customHeight="1" x14ac:dyDescent="0.25">
      <c r="A2257" s="686"/>
      <c r="B2257" s="686"/>
      <c r="C2257" s="686"/>
      <c r="D2257" s="686"/>
      <c r="E2257" s="686"/>
      <c r="F2257" s="686"/>
      <c r="G2257" s="686"/>
      <c r="H2257" s="686"/>
      <c r="I2257" s="192"/>
      <c r="K2257" s="696"/>
      <c r="L2257" s="696"/>
      <c r="M2257" s="696"/>
      <c r="N2257" s="696"/>
      <c r="O2257" s="696"/>
      <c r="P2257" s="696"/>
    </row>
    <row r="2258" spans="1:16" s="17" customFormat="1" ht="16.5" customHeight="1" x14ac:dyDescent="0.25">
      <c r="A2258" s="686"/>
      <c r="B2258" s="686"/>
      <c r="C2258" s="686"/>
      <c r="D2258" s="686"/>
      <c r="E2258" s="686"/>
      <c r="F2258" s="686"/>
      <c r="G2258" s="686"/>
      <c r="H2258" s="686"/>
      <c r="I2258" s="409">
        <v>37</v>
      </c>
      <c r="K2258" s="696"/>
      <c r="L2258" s="696"/>
      <c r="M2258" s="696"/>
      <c r="N2258" s="696"/>
      <c r="O2258" s="696"/>
      <c r="P2258" s="696"/>
    </row>
    <row r="2259" spans="1:16" s="17" customFormat="1" ht="16.5" customHeight="1" x14ac:dyDescent="0.25">
      <c r="A2259" s="686"/>
      <c r="B2259" s="686"/>
      <c r="C2259" s="686"/>
      <c r="D2259" s="686"/>
      <c r="E2259" s="686"/>
      <c r="F2259" s="686"/>
      <c r="G2259" s="686"/>
      <c r="H2259" s="686"/>
      <c r="I2259" s="192"/>
      <c r="K2259" s="696"/>
      <c r="L2259" s="696"/>
      <c r="M2259" s="696"/>
      <c r="N2259" s="696"/>
      <c r="O2259" s="696"/>
      <c r="P2259" s="696"/>
    </row>
    <row r="2260" spans="1:16" s="17" customFormat="1" ht="16.5" customHeight="1" x14ac:dyDescent="0.25">
      <c r="A2260" s="686"/>
      <c r="B2260" s="686"/>
      <c r="C2260" s="686"/>
      <c r="D2260" s="686"/>
      <c r="E2260" s="686"/>
      <c r="F2260" s="686"/>
      <c r="G2260" s="686"/>
      <c r="H2260" s="686"/>
      <c r="I2260" s="192"/>
      <c r="K2260" s="696"/>
      <c r="L2260" s="696"/>
      <c r="M2260" s="696"/>
      <c r="N2260" s="696"/>
      <c r="O2260" s="696"/>
      <c r="P2260" s="696"/>
    </row>
    <row r="2261" spans="1:16" s="17" customFormat="1" ht="16.5" customHeight="1" x14ac:dyDescent="0.25">
      <c r="A2261" s="540"/>
      <c r="B2261" s="722" t="s">
        <v>356</v>
      </c>
      <c r="C2261" s="722"/>
      <c r="D2261" s="722"/>
      <c r="E2261" s="722"/>
      <c r="F2261" s="722"/>
      <c r="G2261" s="540"/>
      <c r="H2261" s="260"/>
      <c r="I2261" s="245"/>
      <c r="K2261" s="521"/>
      <c r="L2261" s="521"/>
      <c r="M2261" s="521"/>
      <c r="N2261" s="521"/>
      <c r="O2261" s="521"/>
      <c r="P2261" s="521"/>
    </row>
    <row r="2262" spans="1:16" s="17" customFormat="1" ht="16.5" customHeight="1" x14ac:dyDescent="0.25">
      <c r="A2262" s="540"/>
      <c r="B2262" s="540"/>
      <c r="C2262" s="540"/>
      <c r="D2262" s="540"/>
      <c r="E2262" s="540"/>
      <c r="F2262" s="540"/>
      <c r="G2262" s="540"/>
      <c r="H2262" s="260"/>
      <c r="I2262" s="245"/>
      <c r="K2262" s="521"/>
      <c r="L2262" s="521"/>
      <c r="M2262" s="521"/>
      <c r="N2262" s="521"/>
      <c r="O2262" s="521"/>
      <c r="P2262" s="521"/>
    </row>
    <row r="2263" spans="1:16" s="17" customFormat="1" ht="16.5" customHeight="1" x14ac:dyDescent="0.25">
      <c r="A2263" s="723" t="s">
        <v>934</v>
      </c>
      <c r="B2263" s="723"/>
      <c r="C2263" s="723"/>
      <c r="D2263" s="723"/>
      <c r="E2263" s="723"/>
      <c r="F2263" s="723"/>
      <c r="G2263" s="723"/>
      <c r="H2263" s="723"/>
      <c r="I2263" s="723"/>
      <c r="K2263" s="521"/>
      <c r="L2263" s="521"/>
      <c r="M2263" s="521"/>
      <c r="N2263" s="521"/>
      <c r="O2263" s="521"/>
      <c r="P2263" s="521"/>
    </row>
    <row r="2264" spans="1:16" s="17" customFormat="1" ht="12" customHeight="1" x14ac:dyDescent="0.25">
      <c r="A2264" s="723" t="s">
        <v>935</v>
      </c>
      <c r="B2264" s="723"/>
      <c r="C2264" s="723"/>
      <c r="D2264" s="723"/>
      <c r="E2264" s="723"/>
      <c r="F2264" s="723"/>
      <c r="G2264" s="723"/>
      <c r="H2264" s="723"/>
      <c r="I2264" s="723"/>
      <c r="K2264" s="521"/>
      <c r="L2264" s="521"/>
      <c r="M2264" s="521"/>
      <c r="N2264" s="521"/>
      <c r="O2264" s="521"/>
      <c r="P2264" s="521"/>
    </row>
    <row r="2265" spans="1:16" s="17" customFormat="1" ht="16.5" customHeight="1" x14ac:dyDescent="0.25">
      <c r="A2265" s="523"/>
      <c r="B2265" s="523"/>
      <c r="C2265" s="523"/>
      <c r="D2265" s="523"/>
      <c r="E2265" s="701" t="s">
        <v>85</v>
      </c>
      <c r="F2265" s="523"/>
      <c r="G2265" s="523"/>
      <c r="H2265" s="523"/>
      <c r="I2265" s="523"/>
      <c r="K2265" s="521"/>
      <c r="L2265" s="521"/>
      <c r="M2265" s="521"/>
      <c r="N2265" s="521"/>
      <c r="O2265" s="521"/>
      <c r="P2265" s="521"/>
    </row>
    <row r="2266" spans="1:16" s="17" customFormat="1" ht="12" customHeight="1" x14ac:dyDescent="0.25">
      <c r="A2266" s="192"/>
      <c r="B2266" s="214"/>
      <c r="C2266" s="15"/>
      <c r="D2266" s="537"/>
      <c r="E2266" s="701"/>
      <c r="F2266" s="537"/>
      <c r="G2266" s="192"/>
      <c r="H2266" s="537"/>
      <c r="I2266" s="537"/>
      <c r="K2266" s="521"/>
      <c r="L2266" s="521"/>
      <c r="M2266" s="521"/>
      <c r="N2266" s="521"/>
      <c r="O2266" s="521"/>
      <c r="P2266" s="521"/>
    </row>
    <row r="2267" spans="1:16" s="17" customFormat="1" ht="16.5" customHeight="1" x14ac:dyDescent="0.25">
      <c r="A2267" s="557" t="s">
        <v>48</v>
      </c>
      <c r="B2267" s="702" t="s">
        <v>49</v>
      </c>
      <c r="C2267" s="703"/>
      <c r="D2267" s="380" t="s">
        <v>86</v>
      </c>
      <c r="E2267" s="530" t="s">
        <v>321</v>
      </c>
      <c r="F2267" s="40" t="s">
        <v>87</v>
      </c>
      <c r="G2267" s="706" t="s">
        <v>52</v>
      </c>
      <c r="H2267" s="707"/>
      <c r="I2267" s="708" t="s">
        <v>53</v>
      </c>
      <c r="K2267" s="521"/>
      <c r="L2267" s="521"/>
      <c r="M2267" s="521"/>
      <c r="N2267" s="521"/>
      <c r="O2267" s="521"/>
      <c r="P2267" s="521"/>
    </row>
    <row r="2268" spans="1:16" s="17" customFormat="1" ht="12" customHeight="1" x14ac:dyDescent="0.25">
      <c r="A2268" s="574" t="s">
        <v>88</v>
      </c>
      <c r="B2268" s="704"/>
      <c r="C2268" s="705"/>
      <c r="D2268" s="381" t="s">
        <v>541</v>
      </c>
      <c r="E2268" s="41" t="s">
        <v>573</v>
      </c>
      <c r="F2268" s="41" t="s">
        <v>607</v>
      </c>
      <c r="G2268" s="24" t="s">
        <v>55</v>
      </c>
      <c r="H2268" s="24" t="s">
        <v>56</v>
      </c>
      <c r="I2268" s="709"/>
      <c r="K2268" s="521"/>
      <c r="L2268" s="521"/>
      <c r="M2268" s="521"/>
      <c r="N2268" s="521"/>
      <c r="O2268" s="521"/>
      <c r="P2268" s="521"/>
    </row>
    <row r="2269" spans="1:16" s="17" customFormat="1" ht="12" customHeight="1" x14ac:dyDescent="0.25">
      <c r="A2269" s="142">
        <v>1</v>
      </c>
      <c r="B2269" s="512">
        <v>2</v>
      </c>
      <c r="C2269" s="513"/>
      <c r="D2269" s="513">
        <v>3</v>
      </c>
      <c r="E2269" s="129">
        <v>4</v>
      </c>
      <c r="F2269" s="129">
        <v>5</v>
      </c>
      <c r="G2269" s="129">
        <v>6</v>
      </c>
      <c r="H2269" s="129">
        <v>7</v>
      </c>
      <c r="I2269" s="142">
        <v>8</v>
      </c>
      <c r="K2269" s="521"/>
      <c r="L2269" s="521"/>
      <c r="M2269" s="521"/>
      <c r="N2269" s="521"/>
      <c r="O2269" s="521"/>
      <c r="P2269" s="521"/>
    </row>
    <row r="2270" spans="1:16" s="17" customFormat="1" ht="16.5" customHeight="1" x14ac:dyDescent="0.25">
      <c r="A2270" s="79">
        <v>50019</v>
      </c>
      <c r="B2270" s="712" t="s">
        <v>357</v>
      </c>
      <c r="C2270" s="713"/>
      <c r="D2270" s="102">
        <v>0</v>
      </c>
      <c r="E2270" s="289">
        <v>0</v>
      </c>
      <c r="F2270" s="102">
        <v>0</v>
      </c>
      <c r="G2270" s="86" t="e">
        <f>F2270/D2270</f>
        <v>#DIV/0!</v>
      </c>
      <c r="H2270" s="87" t="e">
        <f>F2270/E2270</f>
        <v>#DIV/0!</v>
      </c>
      <c r="I2270" s="87">
        <f>F2270/F2271</f>
        <v>0</v>
      </c>
      <c r="K2270" s="521"/>
      <c r="L2270" s="521"/>
      <c r="M2270" s="521"/>
      <c r="N2270" s="521"/>
      <c r="O2270" s="521"/>
      <c r="P2270" s="521"/>
    </row>
    <row r="2271" spans="1:16" s="17" customFormat="1" ht="16.5" customHeight="1" x14ac:dyDescent="0.25">
      <c r="A2271" s="79">
        <v>50409</v>
      </c>
      <c r="B2271" s="712" t="s">
        <v>358</v>
      </c>
      <c r="C2271" s="713"/>
      <c r="D2271" s="102">
        <f>D338</f>
        <v>75109.5</v>
      </c>
      <c r="E2271" s="289">
        <f>E338</f>
        <v>107000</v>
      </c>
      <c r="F2271" s="102">
        <f>F338</f>
        <v>77611.5</v>
      </c>
      <c r="G2271" s="86">
        <f>F2271/D2271</f>
        <v>1.0333113654065065</v>
      </c>
      <c r="H2271" s="87">
        <f>F2271/E2271</f>
        <v>0.72534112149532715</v>
      </c>
      <c r="I2271" s="87">
        <f>F2271/F2272</f>
        <v>1</v>
      </c>
      <c r="K2271" s="521"/>
      <c r="L2271" s="521"/>
      <c r="M2271" s="521"/>
      <c r="N2271" s="521"/>
      <c r="O2271" s="521"/>
      <c r="P2271" s="521"/>
    </row>
    <row r="2272" spans="1:16" s="17" customFormat="1" ht="16.5" customHeight="1" x14ac:dyDescent="0.25">
      <c r="A2272" s="146"/>
      <c r="B2272" s="718" t="s">
        <v>359</v>
      </c>
      <c r="C2272" s="719"/>
      <c r="D2272" s="493">
        <f>D2270+D2271</f>
        <v>75109.5</v>
      </c>
      <c r="E2272" s="465">
        <f>E2270+E2271</f>
        <v>107000</v>
      </c>
      <c r="F2272" s="465">
        <f>F2270+F2271</f>
        <v>77611.5</v>
      </c>
      <c r="G2272" s="148">
        <f>F2272/D2272</f>
        <v>1.0333113654065065</v>
      </c>
      <c r="H2272" s="137">
        <f>F2272/E2272</f>
        <v>0.72534112149532715</v>
      </c>
      <c r="I2272" s="174">
        <f>SUM(I2270:I2271)</f>
        <v>1</v>
      </c>
      <c r="K2272" s="521"/>
      <c r="L2272" s="521"/>
      <c r="M2272" s="521"/>
      <c r="N2272" s="521"/>
      <c r="O2272" s="521"/>
      <c r="P2272" s="521"/>
    </row>
    <row r="2273" spans="1:16" s="17" customFormat="1" ht="16.5" customHeight="1" x14ac:dyDescent="0.25">
      <c r="A2273" s="170"/>
      <c r="B2273" s="583"/>
      <c r="C2273" s="583"/>
      <c r="D2273" s="272"/>
      <c r="E2273" s="160"/>
      <c r="F2273" s="161"/>
      <c r="G2273" s="258"/>
      <c r="H2273" s="258"/>
      <c r="I2273" s="245"/>
      <c r="K2273" s="521"/>
      <c r="L2273" s="521"/>
      <c r="M2273" s="521"/>
      <c r="N2273" s="521"/>
      <c r="O2273" s="521"/>
      <c r="P2273" s="521"/>
    </row>
    <row r="2274" spans="1:16" s="17" customFormat="1" ht="16.5" customHeight="1" x14ac:dyDescent="0.25">
      <c r="A2274" s="742" t="s">
        <v>434</v>
      </c>
      <c r="B2274" s="742"/>
      <c r="C2274" s="742"/>
      <c r="D2274" s="742"/>
      <c r="E2274" s="742"/>
      <c r="F2274" s="742"/>
      <c r="G2274" s="742"/>
      <c r="H2274" s="742"/>
      <c r="I2274" s="742"/>
      <c r="K2274" s="521"/>
      <c r="L2274" s="521"/>
      <c r="M2274" s="521"/>
      <c r="N2274" s="521"/>
      <c r="O2274" s="521"/>
      <c r="P2274" s="521"/>
    </row>
    <row r="2275" spans="1:16" s="17" customFormat="1" ht="16.5" customHeight="1" x14ac:dyDescent="0.25">
      <c r="A2275" s="550"/>
      <c r="B2275" s="550"/>
      <c r="C2275" s="550"/>
      <c r="D2275" s="550"/>
      <c r="E2275" s="550"/>
      <c r="F2275" s="550"/>
      <c r="G2275" s="550"/>
      <c r="H2275" s="550"/>
      <c r="I2275" s="550"/>
      <c r="K2275" s="521"/>
      <c r="L2275" s="521"/>
      <c r="M2275" s="521"/>
      <c r="N2275" s="521"/>
      <c r="O2275" s="521"/>
      <c r="P2275" s="521"/>
    </row>
    <row r="2276" spans="1:16" s="17" customFormat="1" ht="16.5" customHeight="1" x14ac:dyDescent="0.25">
      <c r="A2276" s="725" t="s">
        <v>423</v>
      </c>
      <c r="B2276" s="725"/>
      <c r="C2276" s="725"/>
      <c r="D2276" s="725"/>
      <c r="E2276" s="725"/>
      <c r="F2276" s="725"/>
      <c r="G2276" s="725"/>
      <c r="H2276" s="725"/>
      <c r="I2276" s="725"/>
      <c r="K2276" s="521"/>
      <c r="L2276" s="521"/>
      <c r="M2276" s="521"/>
      <c r="N2276" s="521"/>
      <c r="O2276" s="521"/>
      <c r="P2276" s="521"/>
    </row>
    <row r="2277" spans="1:16" s="17" customFormat="1" ht="16.5" customHeight="1" x14ac:dyDescent="0.25">
      <c r="A2277" s="523"/>
      <c r="B2277" s="523"/>
      <c r="C2277" s="523"/>
      <c r="D2277" s="523"/>
      <c r="E2277" s="701" t="s">
        <v>85</v>
      </c>
      <c r="F2277" s="523"/>
      <c r="G2277" s="523"/>
      <c r="H2277" s="523"/>
      <c r="I2277" s="523"/>
      <c r="K2277" s="521"/>
      <c r="L2277" s="521"/>
      <c r="M2277" s="521"/>
      <c r="N2277" s="521"/>
      <c r="O2277" s="521"/>
      <c r="P2277" s="521"/>
    </row>
    <row r="2278" spans="1:16" s="17" customFormat="1" ht="16.5" customHeight="1" x14ac:dyDescent="0.25">
      <c r="A2278" s="192"/>
      <c r="B2278" s="214"/>
      <c r="C2278" s="15"/>
      <c r="D2278" s="537"/>
      <c r="E2278" s="701"/>
      <c r="F2278" s="537"/>
      <c r="G2278" s="192"/>
      <c r="H2278" s="537"/>
      <c r="I2278" s="537"/>
      <c r="K2278" s="521"/>
      <c r="L2278" s="521"/>
      <c r="M2278" s="521"/>
      <c r="N2278" s="521"/>
      <c r="O2278" s="521"/>
      <c r="P2278" s="521"/>
    </row>
    <row r="2279" spans="1:16" s="17" customFormat="1" ht="16.5" customHeight="1" x14ac:dyDescent="0.25">
      <c r="A2279" s="557" t="s">
        <v>48</v>
      </c>
      <c r="B2279" s="702" t="s">
        <v>49</v>
      </c>
      <c r="C2279" s="703"/>
      <c r="D2279" s="380" t="s">
        <v>86</v>
      </c>
      <c r="E2279" s="530" t="s">
        <v>152</v>
      </c>
      <c r="F2279" s="40" t="s">
        <v>87</v>
      </c>
      <c r="G2279" s="706" t="s">
        <v>52</v>
      </c>
      <c r="H2279" s="707"/>
      <c r="I2279" s="708" t="s">
        <v>53</v>
      </c>
      <c r="K2279" s="521"/>
      <c r="L2279" s="521"/>
      <c r="M2279" s="521"/>
      <c r="N2279" s="521"/>
      <c r="O2279" s="521"/>
      <c r="P2279" s="521"/>
    </row>
    <row r="2280" spans="1:16" s="17" customFormat="1" ht="16.5" customHeight="1" x14ac:dyDescent="0.25">
      <c r="A2280" s="574" t="s">
        <v>88</v>
      </c>
      <c r="B2280" s="704"/>
      <c r="C2280" s="705"/>
      <c r="D2280" s="381" t="s">
        <v>541</v>
      </c>
      <c r="E2280" s="41" t="s">
        <v>573</v>
      </c>
      <c r="F2280" s="41" t="s">
        <v>607</v>
      </c>
      <c r="G2280" s="24" t="s">
        <v>55</v>
      </c>
      <c r="H2280" s="24" t="s">
        <v>56</v>
      </c>
      <c r="I2280" s="709"/>
      <c r="K2280" s="521"/>
      <c r="L2280" s="521"/>
      <c r="M2280" s="521"/>
      <c r="N2280" s="521"/>
      <c r="O2280" s="521"/>
      <c r="P2280" s="521"/>
    </row>
    <row r="2281" spans="1:16" s="17" customFormat="1" ht="16.5" customHeight="1" x14ac:dyDescent="0.25">
      <c r="A2281" s="142">
        <v>1</v>
      </c>
      <c r="B2281" s="512">
        <v>2</v>
      </c>
      <c r="C2281" s="513"/>
      <c r="D2281" s="131">
        <v>3</v>
      </c>
      <c r="E2281" s="129">
        <v>4</v>
      </c>
      <c r="F2281" s="129">
        <v>5</v>
      </c>
      <c r="G2281" s="129">
        <v>6</v>
      </c>
      <c r="H2281" s="129">
        <v>7</v>
      </c>
      <c r="I2281" s="142">
        <v>8</v>
      </c>
      <c r="K2281" s="521"/>
      <c r="L2281" s="521"/>
      <c r="M2281" s="521"/>
      <c r="N2281" s="521"/>
      <c r="O2281" s="521"/>
      <c r="P2281" s="521"/>
    </row>
    <row r="2282" spans="1:16" s="17" customFormat="1" ht="16.5" customHeight="1" x14ac:dyDescent="0.25">
      <c r="A2282" s="81">
        <v>111</v>
      </c>
      <c r="B2282" s="716" t="s">
        <v>184</v>
      </c>
      <c r="C2282" s="717"/>
      <c r="D2282" s="5">
        <f>D679</f>
        <v>2284653.79</v>
      </c>
      <c r="E2282" s="5">
        <f>E679</f>
        <v>3463503.42</v>
      </c>
      <c r="F2282" s="5">
        <f>F679</f>
        <v>2485252.21</v>
      </c>
      <c r="G2282" s="86">
        <f t="shared" ref="G2282:G2287" si="186">F2282/D2282</f>
        <v>1.0878025462229881</v>
      </c>
      <c r="H2282" s="87">
        <f t="shared" ref="H2282:H2287" si="187">F2282/E2282</f>
        <v>0.71755442643680134</v>
      </c>
      <c r="I2282" s="87">
        <f>F2282/F2287</f>
        <v>0.76414838971547361</v>
      </c>
      <c r="K2282" s="521"/>
      <c r="L2282" s="521"/>
      <c r="M2282" s="521"/>
      <c r="N2282" s="521"/>
      <c r="O2282" s="521"/>
      <c r="P2282" s="521"/>
    </row>
    <row r="2283" spans="1:16" s="17" customFormat="1" ht="16.5" customHeight="1" x14ac:dyDescent="0.25">
      <c r="A2283" s="81">
        <v>130</v>
      </c>
      <c r="B2283" s="716" t="s">
        <v>185</v>
      </c>
      <c r="C2283" s="717"/>
      <c r="D2283" s="428">
        <f>D894</f>
        <v>484216.49</v>
      </c>
      <c r="E2283" s="266">
        <f>E894</f>
        <v>620793.68999999994</v>
      </c>
      <c r="F2283" s="428">
        <f>F894</f>
        <v>445659.8</v>
      </c>
      <c r="G2283" s="86">
        <f t="shared" si="186"/>
        <v>0.92037303397081749</v>
      </c>
      <c r="H2283" s="87">
        <f t="shared" si="187"/>
        <v>0.71788712929733556</v>
      </c>
      <c r="I2283" s="87">
        <f>F2283/F2287</f>
        <v>0.13702843404006873</v>
      </c>
      <c r="K2283" s="521"/>
      <c r="L2283" s="521"/>
      <c r="M2283" s="521"/>
      <c r="N2283" s="521"/>
      <c r="O2283" s="521"/>
      <c r="P2283" s="521"/>
    </row>
    <row r="2284" spans="1:16" s="17" customFormat="1" ht="16.5" customHeight="1" x14ac:dyDescent="0.25">
      <c r="A2284" s="81">
        <v>132</v>
      </c>
      <c r="B2284" s="716" t="s">
        <v>186</v>
      </c>
      <c r="C2284" s="717"/>
      <c r="D2284" s="5">
        <f>D1010</f>
        <v>83439.14</v>
      </c>
      <c r="E2284" s="145">
        <f>E1010</f>
        <v>171000</v>
      </c>
      <c r="F2284" s="5">
        <f>F1010</f>
        <v>106391.97</v>
      </c>
      <c r="G2284" s="86">
        <f t="shared" si="186"/>
        <v>1.2750846904702038</v>
      </c>
      <c r="H2284" s="87">
        <f t="shared" si="187"/>
        <v>0.62217526315789473</v>
      </c>
      <c r="I2284" s="87">
        <f>F2284/F2287</f>
        <v>3.2712676897350787E-2</v>
      </c>
      <c r="K2284" s="521"/>
      <c r="L2284" s="521"/>
      <c r="M2284" s="521"/>
      <c r="N2284" s="521"/>
      <c r="O2284" s="521"/>
      <c r="P2284" s="521"/>
    </row>
    <row r="2285" spans="1:16" s="17" customFormat="1" ht="16.5" customHeight="1" x14ac:dyDescent="0.25">
      <c r="A2285" s="81">
        <v>200</v>
      </c>
      <c r="B2285" s="716" t="s">
        <v>187</v>
      </c>
      <c r="C2285" s="717"/>
      <c r="D2285" s="5">
        <f>D1162</f>
        <v>0</v>
      </c>
      <c r="E2285" s="156">
        <f>E1162</f>
        <v>60000</v>
      </c>
      <c r="F2285" s="5">
        <f>F1162</f>
        <v>47200</v>
      </c>
      <c r="G2285" s="86" t="e">
        <f t="shared" si="186"/>
        <v>#DIV/0!</v>
      </c>
      <c r="H2285" s="87">
        <f t="shared" si="187"/>
        <v>0.78666666666666663</v>
      </c>
      <c r="I2285" s="87">
        <f>F2285/F2287</f>
        <v>1.4512733898572957E-2</v>
      </c>
      <c r="K2285" s="521"/>
      <c r="L2285" s="521"/>
      <c r="M2285" s="521"/>
      <c r="N2285" s="521"/>
      <c r="O2285" s="521"/>
      <c r="P2285" s="521"/>
    </row>
    <row r="2286" spans="1:16" s="17" customFormat="1" ht="16.5" customHeight="1" x14ac:dyDescent="0.25">
      <c r="A2286" s="81">
        <v>300</v>
      </c>
      <c r="B2286" s="716" t="s">
        <v>188</v>
      </c>
      <c r="C2286" s="717"/>
      <c r="D2286" s="5">
        <f>D1270</f>
        <v>155384.4</v>
      </c>
      <c r="E2286" s="5">
        <f>E1270</f>
        <v>531880.76</v>
      </c>
      <c r="F2286" s="5">
        <f>F1270</f>
        <v>167812.25</v>
      </c>
      <c r="G2286" s="86">
        <f t="shared" si="186"/>
        <v>1.0799813237364884</v>
      </c>
      <c r="H2286" s="87">
        <f t="shared" si="187"/>
        <v>0.3155072764805405</v>
      </c>
      <c r="I2286" s="87">
        <f>F2286/F2287</f>
        <v>5.1597765448533887E-2</v>
      </c>
      <c r="K2286" s="521"/>
      <c r="L2286" s="521"/>
      <c r="M2286" s="521"/>
      <c r="N2286" s="521"/>
      <c r="O2286" s="521"/>
      <c r="P2286" s="521"/>
    </row>
    <row r="2287" spans="1:16" s="17" customFormat="1" ht="16.5" customHeight="1" x14ac:dyDescent="0.25">
      <c r="A2287" s="146"/>
      <c r="B2287" s="509" t="s">
        <v>84</v>
      </c>
      <c r="C2287" s="510"/>
      <c r="D2287" s="466">
        <f>D2282+D2283+D2284+D2285+D2286</f>
        <v>3007693.8200000003</v>
      </c>
      <c r="E2287" s="466">
        <f t="shared" ref="E2287:F2287" si="188">E2282+E2283+E2284+E2285+E2286</f>
        <v>4847177.8699999992</v>
      </c>
      <c r="F2287" s="466">
        <f t="shared" si="188"/>
        <v>3252316.23</v>
      </c>
      <c r="G2287" s="169">
        <f t="shared" si="186"/>
        <v>1.0813322181843628</v>
      </c>
      <c r="H2287" s="137">
        <f t="shared" si="187"/>
        <v>0.670971092298703</v>
      </c>
      <c r="I2287" s="174">
        <f>I2282+I2283+I2284+I2285+I2286</f>
        <v>1</v>
      </c>
      <c r="K2287" s="521"/>
      <c r="L2287" s="521"/>
      <c r="M2287" s="521"/>
      <c r="N2287" s="521"/>
      <c r="O2287" s="521"/>
      <c r="P2287" s="521"/>
    </row>
    <row r="2288" spans="1:16" s="17" customFormat="1" ht="16.5" customHeight="1" x14ac:dyDescent="0.25">
      <c r="A2288" s="275"/>
      <c r="B2288" s="275"/>
      <c r="C2288" s="275"/>
      <c r="D2288" s="275"/>
      <c r="E2288" s="275"/>
      <c r="F2288" s="275"/>
      <c r="G2288" s="537"/>
      <c r="H2288" s="541"/>
      <c r="I2288" s="279"/>
      <c r="K2288" s="521"/>
      <c r="L2288" s="521"/>
      <c r="M2288" s="521"/>
      <c r="N2288" s="521"/>
      <c r="O2288" s="521"/>
      <c r="P2288" s="521"/>
    </row>
    <row r="2289" spans="1:16" s="17" customFormat="1" ht="16.5" customHeight="1" x14ac:dyDescent="0.25">
      <c r="A2289" s="576"/>
      <c r="B2289" s="715" t="s">
        <v>936</v>
      </c>
      <c r="C2289" s="715"/>
      <c r="D2289" s="715"/>
      <c r="E2289" s="715"/>
      <c r="F2289" s="715"/>
      <c r="G2289" s="715"/>
      <c r="H2289" s="715"/>
      <c r="I2289" s="715"/>
      <c r="K2289" s="521"/>
      <c r="L2289" s="521"/>
      <c r="M2289" s="521"/>
      <c r="N2289" s="521"/>
      <c r="O2289" s="521"/>
      <c r="P2289" s="521"/>
    </row>
    <row r="2290" spans="1:16" s="17" customFormat="1" ht="16.5" customHeight="1" x14ac:dyDescent="0.25">
      <c r="A2290" s="715" t="s">
        <v>937</v>
      </c>
      <c r="B2290" s="715"/>
      <c r="C2290" s="715"/>
      <c r="D2290" s="715"/>
      <c r="E2290" s="715"/>
      <c r="F2290" s="715"/>
      <c r="G2290" s="715"/>
      <c r="H2290" s="715"/>
      <c r="I2290" s="715"/>
      <c r="K2290" s="521"/>
      <c r="L2290" s="521"/>
      <c r="M2290" s="521"/>
      <c r="N2290" s="521"/>
      <c r="O2290" s="521"/>
      <c r="P2290" s="521"/>
    </row>
    <row r="2291" spans="1:16" s="17" customFormat="1" ht="16.5" customHeight="1" x14ac:dyDescent="0.25">
      <c r="A2291" s="525"/>
      <c r="B2291" s="525"/>
      <c r="C2291" s="525"/>
      <c r="D2291" s="525"/>
      <c r="E2291" s="525"/>
      <c r="F2291" s="525"/>
      <c r="G2291" s="525"/>
      <c r="H2291" s="525"/>
      <c r="I2291" s="525"/>
      <c r="K2291" s="521"/>
      <c r="L2291" s="521"/>
      <c r="M2291" s="521"/>
      <c r="N2291" s="521"/>
      <c r="O2291" s="521"/>
      <c r="P2291" s="521"/>
    </row>
    <row r="2292" spans="1:16" s="17" customFormat="1" ht="16.5" customHeight="1" x14ac:dyDescent="0.25">
      <c r="A2292" s="525"/>
      <c r="B2292" s="525"/>
      <c r="C2292" s="525"/>
      <c r="D2292" s="525"/>
      <c r="E2292" s="525"/>
      <c r="F2292" s="525"/>
      <c r="G2292" s="525"/>
      <c r="H2292" s="525"/>
      <c r="I2292" s="525"/>
      <c r="K2292" s="521"/>
      <c r="L2292" s="521"/>
      <c r="M2292" s="521"/>
      <c r="N2292" s="521"/>
      <c r="O2292" s="521"/>
      <c r="P2292" s="521"/>
    </row>
    <row r="2293" spans="1:16" s="17" customFormat="1" ht="16.5" customHeight="1" x14ac:dyDescent="0.25">
      <c r="A2293" s="525"/>
      <c r="B2293" s="525"/>
      <c r="C2293" s="525"/>
      <c r="D2293" s="525"/>
      <c r="E2293" s="525"/>
      <c r="F2293" s="525"/>
      <c r="G2293" s="525"/>
      <c r="H2293" s="525"/>
      <c r="I2293" s="525"/>
      <c r="K2293" s="521"/>
      <c r="L2293" s="521"/>
      <c r="M2293" s="521"/>
      <c r="N2293" s="521"/>
      <c r="O2293" s="521"/>
      <c r="P2293" s="521"/>
    </row>
    <row r="2294" spans="1:16" s="17" customFormat="1" ht="16.5" customHeight="1" x14ac:dyDescent="0.25">
      <c r="A2294" s="525"/>
      <c r="B2294" s="525"/>
      <c r="C2294" s="525"/>
      <c r="D2294" s="525"/>
      <c r="E2294" s="525"/>
      <c r="F2294" s="525"/>
      <c r="G2294" s="525"/>
      <c r="H2294" s="525"/>
      <c r="I2294" s="525"/>
      <c r="K2294" s="521"/>
      <c r="L2294" s="521"/>
      <c r="M2294" s="521"/>
      <c r="N2294" s="521"/>
      <c r="O2294" s="521"/>
      <c r="P2294" s="521"/>
    </row>
    <row r="2295" spans="1:16" s="17" customFormat="1" ht="16.5" customHeight="1" x14ac:dyDescent="0.25">
      <c r="A2295" s="525"/>
      <c r="B2295" s="525"/>
      <c r="C2295" s="525"/>
      <c r="D2295" s="525"/>
      <c r="E2295" s="525"/>
      <c r="F2295" s="525"/>
      <c r="G2295" s="525"/>
      <c r="H2295" s="525"/>
      <c r="I2295" s="387"/>
      <c r="K2295" s="521"/>
      <c r="L2295" s="521"/>
      <c r="M2295" s="521"/>
      <c r="N2295" s="521"/>
      <c r="O2295" s="521"/>
      <c r="P2295" s="521"/>
    </row>
    <row r="2296" spans="1:16" s="17" customFormat="1" ht="16.5" customHeight="1" x14ac:dyDescent="0.25">
      <c r="A2296" s="525"/>
      <c r="B2296" s="525"/>
      <c r="C2296" s="525"/>
      <c r="D2296" s="525"/>
      <c r="E2296" s="525"/>
      <c r="F2296" s="525"/>
      <c r="G2296" s="525"/>
      <c r="H2296" s="525"/>
      <c r="I2296" s="420"/>
      <c r="K2296" s="521"/>
      <c r="L2296" s="521"/>
      <c r="M2296" s="521"/>
      <c r="N2296" s="521"/>
      <c r="O2296" s="521"/>
      <c r="P2296" s="521"/>
    </row>
    <row r="2297" spans="1:16" s="17" customFormat="1" ht="16.5" customHeight="1" x14ac:dyDescent="0.25">
      <c r="A2297" s="724" t="s">
        <v>938</v>
      </c>
      <c r="B2297" s="724"/>
      <c r="C2297" s="724"/>
      <c r="D2297" s="724"/>
      <c r="E2297" s="724"/>
      <c r="F2297" s="724"/>
      <c r="G2297" s="724"/>
      <c r="H2297" s="724"/>
      <c r="I2297" s="724"/>
      <c r="K2297" s="521"/>
      <c r="L2297" s="521"/>
      <c r="M2297" s="521"/>
      <c r="N2297" s="521"/>
      <c r="O2297" s="521"/>
      <c r="P2297" s="521"/>
    </row>
    <row r="2298" spans="1:16" s="17" customFormat="1" ht="16.5" customHeight="1" x14ac:dyDescent="0.25">
      <c r="A2298" s="714" t="s">
        <v>939</v>
      </c>
      <c r="B2298" s="714"/>
      <c r="C2298" s="714"/>
      <c r="D2298" s="714"/>
      <c r="E2298" s="714"/>
      <c r="F2298" s="714"/>
      <c r="G2298" s="714"/>
      <c r="H2298" s="714"/>
      <c r="I2298" s="714"/>
      <c r="K2298" s="521"/>
      <c r="L2298" s="521"/>
      <c r="M2298" s="521"/>
      <c r="N2298" s="521"/>
      <c r="O2298" s="521"/>
      <c r="P2298" s="521"/>
    </row>
    <row r="2299" spans="1:16" s="17" customFormat="1" ht="16.5" customHeight="1" x14ac:dyDescent="0.25">
      <c r="A2299" s="537" t="s">
        <v>940</v>
      </c>
      <c r="B2299" s="537"/>
      <c r="C2299" s="537"/>
      <c r="D2299" s="537"/>
      <c r="E2299" s="537"/>
      <c r="F2299" s="537"/>
      <c r="G2299" s="537"/>
      <c r="H2299" s="537"/>
      <c r="I2299" s="537"/>
      <c r="K2299" s="521"/>
      <c r="L2299" s="521"/>
      <c r="M2299" s="521"/>
      <c r="N2299" s="521"/>
      <c r="O2299" s="521"/>
      <c r="P2299" s="521"/>
    </row>
    <row r="2300" spans="1:16" s="17" customFormat="1" ht="16.5" customHeight="1" x14ac:dyDescent="0.25">
      <c r="A2300" s="537" t="s">
        <v>941</v>
      </c>
      <c r="B2300" s="537"/>
      <c r="C2300" s="537"/>
      <c r="D2300" s="537"/>
      <c r="E2300" s="537"/>
      <c r="F2300" s="537"/>
      <c r="G2300" s="537"/>
      <c r="H2300" s="537"/>
      <c r="I2300" s="537"/>
      <c r="K2300" s="521"/>
      <c r="L2300" s="521"/>
      <c r="M2300" s="521"/>
      <c r="N2300" s="521"/>
      <c r="O2300" s="521"/>
      <c r="P2300" s="521"/>
    </row>
    <row r="2301" spans="1:16" s="17" customFormat="1" ht="16.5" customHeight="1" x14ac:dyDescent="0.25">
      <c r="A2301" s="714" t="s">
        <v>942</v>
      </c>
      <c r="B2301" s="714"/>
      <c r="C2301" s="714"/>
      <c r="D2301" s="714"/>
      <c r="E2301" s="714"/>
      <c r="F2301" s="714"/>
      <c r="G2301" s="714"/>
      <c r="H2301" s="714"/>
      <c r="I2301" s="714"/>
      <c r="K2301" s="521"/>
      <c r="L2301" s="521"/>
      <c r="M2301" s="521"/>
      <c r="N2301" s="521"/>
      <c r="O2301" s="521"/>
      <c r="P2301" s="521"/>
    </row>
    <row r="2302" spans="1:16" s="17" customFormat="1" ht="16.5" customHeight="1" x14ac:dyDescent="0.25">
      <c r="A2302" s="537" t="s">
        <v>943</v>
      </c>
      <c r="B2302" s="537"/>
      <c r="C2302" s="537"/>
      <c r="D2302" s="537"/>
      <c r="E2302" s="537"/>
      <c r="F2302" s="537"/>
      <c r="G2302" s="537"/>
      <c r="H2302" s="537"/>
      <c r="I2302" s="537"/>
      <c r="K2302" s="521"/>
      <c r="L2302" s="521"/>
      <c r="M2302" s="521"/>
      <c r="N2302" s="521"/>
      <c r="O2302" s="521"/>
      <c r="P2302" s="521"/>
    </row>
    <row r="2303" spans="1:16" s="17" customFormat="1" ht="16.5" customHeight="1" x14ac:dyDescent="0.25">
      <c r="A2303" s="714" t="s">
        <v>944</v>
      </c>
      <c r="B2303" s="714"/>
      <c r="C2303" s="714"/>
      <c r="D2303" s="714"/>
      <c r="E2303" s="714"/>
      <c r="F2303" s="714"/>
      <c r="G2303" s="714"/>
      <c r="H2303" s="714"/>
      <c r="I2303" s="714"/>
      <c r="K2303" s="521"/>
      <c r="L2303" s="521"/>
      <c r="M2303" s="521"/>
      <c r="N2303" s="521"/>
      <c r="O2303" s="521"/>
      <c r="P2303" s="521"/>
    </row>
    <row r="2304" spans="1:16" s="17" customFormat="1" ht="15" customHeight="1" x14ac:dyDescent="0.25">
      <c r="A2304" s="523" t="s">
        <v>945</v>
      </c>
      <c r="B2304" s="523"/>
      <c r="C2304" s="523"/>
      <c r="D2304" s="523"/>
      <c r="E2304" s="523"/>
      <c r="F2304" s="523"/>
      <c r="G2304" s="523"/>
      <c r="H2304" s="523"/>
      <c r="I2304" s="523"/>
      <c r="K2304" s="521"/>
      <c r="L2304" s="521"/>
      <c r="M2304" s="521"/>
      <c r="N2304" s="521"/>
      <c r="O2304" s="521"/>
      <c r="P2304" s="521"/>
    </row>
    <row r="2305" spans="1:16" s="17" customFormat="1" ht="15" customHeight="1" x14ac:dyDescent="0.25">
      <c r="A2305" s="523"/>
      <c r="B2305" s="714" t="s">
        <v>946</v>
      </c>
      <c r="C2305" s="714"/>
      <c r="D2305" s="714"/>
      <c r="E2305" s="714"/>
      <c r="F2305" s="714"/>
      <c r="G2305" s="714"/>
      <c r="H2305" s="714"/>
      <c r="I2305" s="714"/>
      <c r="K2305" s="521"/>
      <c r="L2305" s="521"/>
      <c r="M2305" s="521"/>
      <c r="N2305" s="521"/>
      <c r="O2305" s="521"/>
      <c r="P2305" s="521"/>
    </row>
    <row r="2306" spans="1:16" s="17" customFormat="1" ht="16.5" customHeight="1" x14ac:dyDescent="0.25">
      <c r="A2306" s="714" t="s">
        <v>947</v>
      </c>
      <c r="B2306" s="714"/>
      <c r="C2306" s="714"/>
      <c r="D2306" s="714"/>
      <c r="E2306" s="714"/>
      <c r="F2306" s="714"/>
      <c r="G2306" s="714"/>
      <c r="H2306" s="714"/>
      <c r="I2306" s="714"/>
      <c r="K2306" s="521"/>
      <c r="L2306" s="521"/>
      <c r="M2306" s="521"/>
      <c r="N2306" s="521"/>
      <c r="O2306" s="521"/>
      <c r="P2306" s="521"/>
    </row>
    <row r="2307" spans="1:16" s="17" customFormat="1" ht="16.5" customHeight="1" x14ac:dyDescent="0.25">
      <c r="A2307" s="523"/>
      <c r="B2307" s="523"/>
      <c r="C2307" s="523"/>
      <c r="D2307" s="523"/>
      <c r="E2307" s="523"/>
      <c r="F2307" s="523"/>
      <c r="G2307" s="523"/>
      <c r="H2307" s="523"/>
      <c r="I2307" s="523"/>
      <c r="K2307" s="521"/>
      <c r="L2307" s="521"/>
      <c r="M2307" s="521"/>
      <c r="N2307" s="521"/>
      <c r="O2307" s="521"/>
      <c r="P2307" s="521"/>
    </row>
    <row r="2308" spans="1:16" s="17" customFormat="1" ht="16.5" customHeight="1" x14ac:dyDescent="0.25">
      <c r="A2308" s="686"/>
      <c r="B2308" s="686"/>
      <c r="C2308" s="686"/>
      <c r="D2308" s="686"/>
      <c r="E2308" s="686"/>
      <c r="F2308" s="686"/>
      <c r="G2308" s="686"/>
      <c r="H2308" s="686"/>
      <c r="I2308" s="686"/>
      <c r="K2308" s="696"/>
      <c r="L2308" s="696"/>
      <c r="M2308" s="696"/>
      <c r="N2308" s="696"/>
      <c r="O2308" s="696"/>
      <c r="P2308" s="696"/>
    </row>
    <row r="2309" spans="1:16" s="17" customFormat="1" ht="16.5" customHeight="1" x14ac:dyDescent="0.25">
      <c r="A2309" s="686"/>
      <c r="B2309" s="686"/>
      <c r="C2309" s="686"/>
      <c r="D2309" s="686"/>
      <c r="E2309" s="686"/>
      <c r="F2309" s="686"/>
      <c r="G2309" s="686"/>
      <c r="H2309" s="686"/>
      <c r="I2309" s="686"/>
      <c r="K2309" s="696"/>
      <c r="L2309" s="696"/>
      <c r="M2309" s="696"/>
      <c r="N2309" s="696"/>
      <c r="O2309" s="696"/>
      <c r="P2309" s="696"/>
    </row>
    <row r="2310" spans="1:16" s="17" customFormat="1" ht="16.5" customHeight="1" x14ac:dyDescent="0.25">
      <c r="A2310" s="686"/>
      <c r="B2310" s="686"/>
      <c r="C2310" s="686"/>
      <c r="D2310" s="686"/>
      <c r="E2310" s="686"/>
      <c r="F2310" s="686"/>
      <c r="G2310" s="686"/>
      <c r="H2310" s="686"/>
      <c r="I2310" s="686"/>
      <c r="K2310" s="696"/>
      <c r="L2310" s="696"/>
      <c r="M2310" s="696"/>
      <c r="N2310" s="696"/>
      <c r="O2310" s="696"/>
      <c r="P2310" s="696"/>
    </row>
    <row r="2311" spans="1:16" s="17" customFormat="1" ht="16.5" customHeight="1" x14ac:dyDescent="0.25">
      <c r="A2311" s="686"/>
      <c r="B2311" s="686"/>
      <c r="C2311" s="686"/>
      <c r="D2311" s="686"/>
      <c r="E2311" s="686"/>
      <c r="F2311" s="686"/>
      <c r="G2311" s="686"/>
      <c r="H2311" s="686"/>
      <c r="I2311" s="686"/>
      <c r="K2311" s="696"/>
      <c r="L2311" s="696"/>
      <c r="M2311" s="696"/>
      <c r="N2311" s="696"/>
      <c r="O2311" s="696"/>
      <c r="P2311" s="696"/>
    </row>
    <row r="2312" spans="1:16" s="17" customFormat="1" ht="16.5" customHeight="1" x14ac:dyDescent="0.25">
      <c r="A2312" s="686"/>
      <c r="B2312" s="686"/>
      <c r="C2312" s="686"/>
      <c r="D2312" s="686"/>
      <c r="E2312" s="686"/>
      <c r="F2312" s="686"/>
      <c r="G2312" s="686"/>
      <c r="H2312" s="686"/>
      <c r="I2312" s="686"/>
      <c r="K2312" s="696"/>
      <c r="L2312" s="696"/>
      <c r="M2312" s="696"/>
      <c r="N2312" s="696"/>
      <c r="O2312" s="696"/>
      <c r="P2312" s="696"/>
    </row>
    <row r="2313" spans="1:16" s="17" customFormat="1" ht="16.5" customHeight="1" x14ac:dyDescent="0.25">
      <c r="A2313" s="686"/>
      <c r="B2313" s="686"/>
      <c r="C2313" s="686"/>
      <c r="D2313" s="686"/>
      <c r="E2313" s="686"/>
      <c r="F2313" s="686"/>
      <c r="G2313" s="686"/>
      <c r="H2313" s="686"/>
      <c r="I2313" s="686"/>
      <c r="K2313" s="696"/>
      <c r="L2313" s="696"/>
      <c r="M2313" s="696"/>
      <c r="N2313" s="696"/>
      <c r="O2313" s="696"/>
      <c r="P2313" s="696"/>
    </row>
    <row r="2314" spans="1:16" s="17" customFormat="1" ht="16.5" customHeight="1" x14ac:dyDescent="0.25">
      <c r="A2314" s="686"/>
      <c r="B2314" s="686"/>
      <c r="C2314" s="686"/>
      <c r="D2314" s="686"/>
      <c r="E2314" s="686"/>
      <c r="F2314" s="686"/>
      <c r="G2314" s="686"/>
      <c r="H2314" s="686"/>
      <c r="I2314" s="686"/>
      <c r="K2314" s="696"/>
      <c r="L2314" s="696"/>
      <c r="M2314" s="696"/>
      <c r="N2314" s="696"/>
      <c r="O2314" s="696"/>
      <c r="P2314" s="696"/>
    </row>
    <row r="2315" spans="1:16" s="17" customFormat="1" ht="16.5" customHeight="1" x14ac:dyDescent="0.25">
      <c r="A2315" s="686"/>
      <c r="B2315" s="686"/>
      <c r="C2315" s="686"/>
      <c r="D2315" s="686"/>
      <c r="E2315" s="686"/>
      <c r="F2315" s="686"/>
      <c r="G2315" s="686"/>
      <c r="H2315" s="686"/>
      <c r="I2315" s="686"/>
      <c r="K2315" s="696"/>
      <c r="L2315" s="696"/>
      <c r="M2315" s="696"/>
      <c r="N2315" s="696"/>
      <c r="O2315" s="696"/>
      <c r="P2315" s="696"/>
    </row>
    <row r="2316" spans="1:16" s="17" customFormat="1" ht="16.5" customHeight="1" x14ac:dyDescent="0.25">
      <c r="A2316" s="686"/>
      <c r="B2316" s="686"/>
      <c r="C2316" s="686"/>
      <c r="D2316" s="686"/>
      <c r="E2316" s="686"/>
      <c r="F2316" s="686"/>
      <c r="G2316" s="686"/>
      <c r="H2316" s="686"/>
      <c r="I2316" s="686"/>
      <c r="K2316" s="696"/>
      <c r="L2316" s="696"/>
      <c r="M2316" s="696"/>
      <c r="N2316" s="696"/>
      <c r="O2316" s="696"/>
      <c r="P2316" s="696"/>
    </row>
    <row r="2317" spans="1:16" s="17" customFormat="1" ht="16.5" customHeight="1" x14ac:dyDescent="0.25">
      <c r="A2317" s="686"/>
      <c r="B2317" s="686"/>
      <c r="C2317" s="686"/>
      <c r="D2317" s="686"/>
      <c r="E2317" s="686"/>
      <c r="F2317" s="686"/>
      <c r="G2317" s="686"/>
      <c r="H2317" s="686"/>
      <c r="I2317" s="686"/>
      <c r="K2317" s="696"/>
      <c r="L2317" s="696"/>
      <c r="M2317" s="696"/>
      <c r="N2317" s="696"/>
      <c r="O2317" s="696"/>
      <c r="P2317" s="696"/>
    </row>
    <row r="2318" spans="1:16" s="17" customFormat="1" ht="16.5" customHeight="1" x14ac:dyDescent="0.25">
      <c r="A2318" s="686"/>
      <c r="B2318" s="686"/>
      <c r="C2318" s="686"/>
      <c r="D2318" s="686"/>
      <c r="E2318" s="686"/>
      <c r="F2318" s="686"/>
      <c r="G2318" s="686"/>
      <c r="H2318" s="686"/>
      <c r="I2318" s="409">
        <v>38</v>
      </c>
      <c r="K2318" s="696"/>
      <c r="L2318" s="696"/>
      <c r="M2318" s="696"/>
      <c r="N2318" s="696"/>
      <c r="O2318" s="696"/>
      <c r="P2318" s="696"/>
    </row>
    <row r="2319" spans="1:16" s="17" customFormat="1" ht="16.5" customHeight="1" x14ac:dyDescent="0.25">
      <c r="A2319" s="686"/>
      <c r="B2319" s="686"/>
      <c r="C2319" s="686"/>
      <c r="D2319" s="686"/>
      <c r="E2319" s="686"/>
      <c r="F2319" s="686"/>
      <c r="G2319" s="686"/>
      <c r="H2319" s="686"/>
      <c r="I2319" s="686"/>
      <c r="K2319" s="696"/>
      <c r="L2319" s="696"/>
      <c r="M2319" s="696"/>
      <c r="N2319" s="696"/>
      <c r="O2319" s="696"/>
      <c r="P2319" s="696"/>
    </row>
    <row r="2320" spans="1:16" s="17" customFormat="1" ht="16.5" customHeight="1" x14ac:dyDescent="0.25">
      <c r="A2320" s="556"/>
      <c r="B2320" s="541"/>
      <c r="C2320" s="541"/>
      <c r="D2320" s="541"/>
      <c r="E2320" s="556"/>
      <c r="F2320" s="556"/>
      <c r="G2320" s="556"/>
      <c r="H2320" s="311"/>
      <c r="I2320" s="279"/>
      <c r="K2320" s="521"/>
      <c r="L2320" s="521"/>
      <c r="M2320" s="521"/>
      <c r="N2320" s="521"/>
      <c r="O2320" s="521"/>
      <c r="P2320" s="521"/>
    </row>
    <row r="2321" spans="1:16" s="17" customFormat="1" ht="16.5" customHeight="1" x14ac:dyDescent="0.25">
      <c r="A2321" s="540"/>
      <c r="B2321" s="722" t="s">
        <v>360</v>
      </c>
      <c r="C2321" s="722"/>
      <c r="D2321" s="722"/>
      <c r="E2321" s="722"/>
      <c r="F2321" s="540"/>
      <c r="G2321" s="541"/>
      <c r="H2321" s="260"/>
      <c r="I2321" s="245"/>
      <c r="K2321" s="521"/>
      <c r="L2321" s="521"/>
      <c r="M2321" s="521"/>
      <c r="N2321" s="521"/>
      <c r="O2321" s="521"/>
      <c r="P2321" s="521"/>
    </row>
    <row r="2322" spans="1:16" s="17" customFormat="1" ht="16.5" customHeight="1" x14ac:dyDescent="0.25">
      <c r="A2322" s="540"/>
      <c r="B2322" s="540"/>
      <c r="C2322" s="540"/>
      <c r="D2322" s="540"/>
      <c r="E2322" s="540"/>
      <c r="F2322" s="540"/>
      <c r="G2322" s="541"/>
      <c r="H2322" s="260"/>
      <c r="I2322" s="245"/>
      <c r="K2322" s="521"/>
      <c r="L2322" s="521"/>
      <c r="M2322" s="521"/>
      <c r="N2322" s="521"/>
      <c r="O2322" s="521"/>
      <c r="P2322" s="521"/>
    </row>
    <row r="2323" spans="1:16" s="17" customFormat="1" ht="16.5" customHeight="1" x14ac:dyDescent="0.25">
      <c r="A2323" s="742" t="s">
        <v>948</v>
      </c>
      <c r="B2323" s="742"/>
      <c r="C2323" s="742"/>
      <c r="D2323" s="742"/>
      <c r="E2323" s="742"/>
      <c r="F2323" s="742"/>
      <c r="G2323" s="742"/>
      <c r="H2323" s="742"/>
      <c r="I2323" s="742"/>
      <c r="K2323" s="521"/>
      <c r="L2323" s="521"/>
      <c r="M2323" s="521"/>
      <c r="N2323" s="521"/>
      <c r="O2323" s="521"/>
      <c r="P2323" s="521"/>
    </row>
    <row r="2324" spans="1:16" s="17" customFormat="1" ht="16.5" customHeight="1" x14ac:dyDescent="0.25">
      <c r="A2324" s="715" t="s">
        <v>949</v>
      </c>
      <c r="B2324" s="715"/>
      <c r="C2324" s="715"/>
      <c r="D2324" s="715"/>
      <c r="E2324" s="715"/>
      <c r="F2324" s="715"/>
      <c r="G2324" s="715"/>
      <c r="H2324" s="715"/>
      <c r="I2324" s="715"/>
      <c r="K2324" s="521"/>
      <c r="L2324" s="521"/>
      <c r="M2324" s="521"/>
      <c r="N2324" s="521"/>
      <c r="O2324" s="521"/>
      <c r="P2324" s="521"/>
    </row>
    <row r="2325" spans="1:16" s="17" customFormat="1" ht="16.5" customHeight="1" x14ac:dyDescent="0.25">
      <c r="A2325" s="523"/>
      <c r="B2325" s="523"/>
      <c r="C2325" s="523"/>
      <c r="D2325" s="523"/>
      <c r="E2325" s="701" t="s">
        <v>85</v>
      </c>
      <c r="F2325" s="523"/>
      <c r="G2325" s="523"/>
      <c r="H2325" s="523"/>
      <c r="I2325" s="523"/>
      <c r="K2325" s="521"/>
      <c r="L2325" s="521"/>
      <c r="M2325" s="521"/>
      <c r="N2325" s="521"/>
      <c r="O2325" s="521"/>
      <c r="P2325" s="521"/>
    </row>
    <row r="2326" spans="1:16" s="17" customFormat="1" ht="18.75" customHeight="1" x14ac:dyDescent="0.25">
      <c r="A2326" s="192"/>
      <c r="B2326" s="214"/>
      <c r="C2326" s="15"/>
      <c r="D2326" s="537"/>
      <c r="E2326" s="701"/>
      <c r="F2326" s="537"/>
      <c r="G2326" s="192"/>
      <c r="H2326" s="537"/>
      <c r="I2326" s="537"/>
      <c r="K2326" s="521"/>
      <c r="L2326" s="521"/>
      <c r="M2326" s="521"/>
      <c r="N2326" s="521"/>
      <c r="O2326" s="521"/>
      <c r="P2326" s="521"/>
    </row>
    <row r="2327" spans="1:16" s="17" customFormat="1" ht="12" customHeight="1" x14ac:dyDescent="0.25">
      <c r="A2327" s="557" t="s">
        <v>48</v>
      </c>
      <c r="B2327" s="702" t="s">
        <v>49</v>
      </c>
      <c r="C2327" s="703"/>
      <c r="D2327" s="380" t="s">
        <v>86</v>
      </c>
      <c r="E2327" s="530" t="s">
        <v>152</v>
      </c>
      <c r="F2327" s="40" t="s">
        <v>87</v>
      </c>
      <c r="G2327" s="744" t="s">
        <v>52</v>
      </c>
      <c r="H2327" s="745"/>
      <c r="I2327" s="708" t="s">
        <v>53</v>
      </c>
      <c r="K2327" s="521"/>
      <c r="L2327" s="521"/>
      <c r="M2327" s="521"/>
      <c r="N2327" s="521"/>
      <c r="O2327" s="521"/>
      <c r="P2327" s="521"/>
    </row>
    <row r="2328" spans="1:16" s="17" customFormat="1" ht="16.5" customHeight="1" x14ac:dyDescent="0.25">
      <c r="A2328" s="574" t="s">
        <v>88</v>
      </c>
      <c r="B2328" s="704"/>
      <c r="C2328" s="705"/>
      <c r="D2328" s="381" t="s">
        <v>541</v>
      </c>
      <c r="E2328" s="41" t="s">
        <v>573</v>
      </c>
      <c r="F2328" s="41" t="s">
        <v>607</v>
      </c>
      <c r="G2328" s="246" t="s">
        <v>55</v>
      </c>
      <c r="H2328" s="24" t="s">
        <v>56</v>
      </c>
      <c r="I2328" s="709"/>
      <c r="K2328" s="521"/>
      <c r="L2328" s="521"/>
      <c r="M2328" s="521"/>
      <c r="N2328" s="521"/>
      <c r="O2328" s="521"/>
      <c r="P2328" s="521"/>
    </row>
    <row r="2329" spans="1:16" s="17" customFormat="1" ht="16.5" customHeight="1" x14ac:dyDescent="0.25">
      <c r="A2329" s="142">
        <v>1</v>
      </c>
      <c r="B2329" s="710">
        <v>2</v>
      </c>
      <c r="C2329" s="711"/>
      <c r="D2329" s="513">
        <v>3</v>
      </c>
      <c r="E2329" s="129">
        <v>4</v>
      </c>
      <c r="F2329" s="129">
        <v>5</v>
      </c>
      <c r="G2329" s="129">
        <v>6</v>
      </c>
      <c r="H2329" s="129">
        <v>7</v>
      </c>
      <c r="I2329" s="142">
        <v>8</v>
      </c>
      <c r="K2329" s="521"/>
      <c r="L2329" s="521"/>
      <c r="M2329" s="521"/>
      <c r="N2329" s="521"/>
      <c r="O2329" s="521"/>
      <c r="P2329" s="521"/>
    </row>
    <row r="2330" spans="1:16" s="17" customFormat="1" ht="16.5" customHeight="1" x14ac:dyDescent="0.25">
      <c r="A2330" s="81">
        <v>111</v>
      </c>
      <c r="B2330" s="716" t="s">
        <v>184</v>
      </c>
      <c r="C2330" s="717"/>
      <c r="D2330" s="5">
        <f>D680</f>
        <v>95679.65</v>
      </c>
      <c r="E2330" s="5">
        <f>E680</f>
        <v>160209.29999999999</v>
      </c>
      <c r="F2330" s="5">
        <f>F680</f>
        <v>101842.11</v>
      </c>
      <c r="G2330" s="86">
        <f t="shared" ref="G2330:G2335" si="189">F2330/D2330</f>
        <v>1.0644072172086751</v>
      </c>
      <c r="H2330" s="87">
        <f t="shared" ref="H2330:H2335" si="190">F2330/E2330</f>
        <v>0.63568163645930675</v>
      </c>
      <c r="I2330" s="87">
        <f>F2330/F2335</f>
        <v>0.49201352120220798</v>
      </c>
      <c r="K2330" s="521"/>
      <c r="L2330" s="521"/>
      <c r="M2330" s="521"/>
      <c r="N2330" s="521"/>
      <c r="O2330" s="521"/>
      <c r="P2330" s="521"/>
    </row>
    <row r="2331" spans="1:16" s="17" customFormat="1" ht="16.5" customHeight="1" x14ac:dyDescent="0.25">
      <c r="A2331" s="81">
        <v>130</v>
      </c>
      <c r="B2331" s="716" t="s">
        <v>185</v>
      </c>
      <c r="C2331" s="717"/>
      <c r="D2331" s="428">
        <f>D895</f>
        <v>6589.56</v>
      </c>
      <c r="E2331" s="266">
        <f>E895</f>
        <v>23700</v>
      </c>
      <c r="F2331" s="428">
        <f>F895</f>
        <v>14634.97</v>
      </c>
      <c r="G2331" s="86">
        <f t="shared" si="189"/>
        <v>2.2209328088673597</v>
      </c>
      <c r="H2331" s="87">
        <f t="shared" si="190"/>
        <v>0.61750928270042194</v>
      </c>
      <c r="I2331" s="87">
        <f>F2331/F2335</f>
        <v>7.0703593262047282E-2</v>
      </c>
      <c r="K2331" s="521"/>
      <c r="L2331" s="521"/>
      <c r="M2331" s="521"/>
      <c r="N2331" s="521"/>
      <c r="O2331" s="521"/>
      <c r="P2331" s="521"/>
    </row>
    <row r="2332" spans="1:16" s="17" customFormat="1" ht="16.5" customHeight="1" x14ac:dyDescent="0.25">
      <c r="A2332" s="81">
        <v>132</v>
      </c>
      <c r="B2332" s="716" t="s">
        <v>186</v>
      </c>
      <c r="C2332" s="717"/>
      <c r="D2332" s="5">
        <f>D1011</f>
        <v>9140.07</v>
      </c>
      <c r="E2332" s="145">
        <f>E1011</f>
        <v>24600</v>
      </c>
      <c r="F2332" s="5">
        <f>F1011</f>
        <v>10676.78</v>
      </c>
      <c r="G2332" s="86">
        <f t="shared" si="189"/>
        <v>1.1681289092971936</v>
      </c>
      <c r="H2332" s="87">
        <f t="shared" si="190"/>
        <v>0.43401544715447155</v>
      </c>
      <c r="I2332" s="87">
        <f>F2332/F2335</f>
        <v>5.1581022063479545E-2</v>
      </c>
      <c r="K2332" s="521"/>
      <c r="L2332" s="521"/>
      <c r="M2332" s="521"/>
      <c r="N2332" s="521"/>
      <c r="O2332" s="521"/>
      <c r="P2332" s="521"/>
    </row>
    <row r="2333" spans="1:16" s="17" customFormat="1" ht="16.5" customHeight="1" x14ac:dyDescent="0.25">
      <c r="A2333" s="81">
        <v>200</v>
      </c>
      <c r="B2333" s="716" t="s">
        <v>187</v>
      </c>
      <c r="C2333" s="717"/>
      <c r="D2333" s="5">
        <f>D1163</f>
        <v>58500</v>
      </c>
      <c r="E2333" s="156">
        <f>E1163</f>
        <v>80010.8</v>
      </c>
      <c r="F2333" s="5">
        <f>F1163</f>
        <v>79836.61</v>
      </c>
      <c r="G2333" s="86">
        <f t="shared" si="189"/>
        <v>1.3647283760683762</v>
      </c>
      <c r="H2333" s="87">
        <f t="shared" si="190"/>
        <v>0.99782291890594765</v>
      </c>
      <c r="I2333" s="87">
        <f>F2333/F2335</f>
        <v>0.38570186347226515</v>
      </c>
      <c r="K2333" s="521"/>
      <c r="L2333" s="521"/>
      <c r="M2333" s="521"/>
      <c r="N2333" s="521"/>
      <c r="O2333" s="521"/>
      <c r="P2333" s="521"/>
    </row>
    <row r="2334" spans="1:16" s="17" customFormat="1" ht="16.5" customHeight="1" x14ac:dyDescent="0.25">
      <c r="A2334" s="81">
        <v>300</v>
      </c>
      <c r="B2334" s="716" t="s">
        <v>188</v>
      </c>
      <c r="C2334" s="717"/>
      <c r="D2334" s="5">
        <f>D1271</f>
        <v>38896.400000000001</v>
      </c>
      <c r="E2334" s="5">
        <f>E1271</f>
        <v>12000</v>
      </c>
      <c r="F2334" s="5">
        <f>F1271</f>
        <v>0</v>
      </c>
      <c r="G2334" s="86">
        <f t="shared" si="189"/>
        <v>0</v>
      </c>
      <c r="H2334" s="87">
        <f t="shared" si="190"/>
        <v>0</v>
      </c>
      <c r="I2334" s="87">
        <f>F2334/F2335</f>
        <v>0</v>
      </c>
      <c r="K2334" s="521"/>
      <c r="L2334" s="521"/>
      <c r="M2334" s="521"/>
      <c r="N2334" s="521"/>
      <c r="O2334" s="521"/>
      <c r="P2334" s="521"/>
    </row>
    <row r="2335" spans="1:16" s="17" customFormat="1" ht="16.5" customHeight="1" x14ac:dyDescent="0.25">
      <c r="A2335" s="146"/>
      <c r="B2335" s="509" t="s">
        <v>84</v>
      </c>
      <c r="C2335" s="510"/>
      <c r="D2335" s="465">
        <f>D2330+D2331+D2332+D2333+D2334</f>
        <v>208805.68</v>
      </c>
      <c r="E2335" s="465">
        <f>E2330+E2331+E2332+E2333+E2334</f>
        <v>300520.09999999998</v>
      </c>
      <c r="F2335" s="383">
        <f>F2330+F2331+F2332+F2333+F2334</f>
        <v>206990.47</v>
      </c>
      <c r="G2335" s="169">
        <f t="shared" si="189"/>
        <v>0.9913067020015931</v>
      </c>
      <c r="H2335" s="137">
        <f t="shared" si="190"/>
        <v>0.68877412858574194</v>
      </c>
      <c r="I2335" s="137">
        <f>SUM(I2330:I2334)</f>
        <v>1</v>
      </c>
      <c r="K2335" s="521"/>
      <c r="L2335" s="521"/>
      <c r="M2335" s="521"/>
      <c r="N2335" s="521"/>
      <c r="O2335" s="521"/>
      <c r="P2335" s="521"/>
    </row>
    <row r="2336" spans="1:16" s="17" customFormat="1" ht="16.5" customHeight="1" x14ac:dyDescent="0.25">
      <c r="A2336" s="170"/>
      <c r="B2336" s="584"/>
      <c r="C2336" s="291"/>
      <c r="D2336" s="291"/>
      <c r="E2336" s="160"/>
      <c r="F2336" s="161"/>
      <c r="G2336" s="162"/>
      <c r="H2336" s="258"/>
      <c r="I2336" s="245"/>
      <c r="K2336" s="521"/>
      <c r="L2336" s="521"/>
      <c r="M2336" s="521"/>
      <c r="N2336" s="521"/>
      <c r="O2336" s="521"/>
      <c r="P2336" s="521"/>
    </row>
    <row r="2337" spans="1:16" s="17" customFormat="1" ht="16.5" customHeight="1" x14ac:dyDescent="0.25">
      <c r="A2337" s="724" t="s">
        <v>950</v>
      </c>
      <c r="B2337" s="724"/>
      <c r="C2337" s="724"/>
      <c r="D2337" s="724"/>
      <c r="E2337" s="724"/>
      <c r="F2337" s="724"/>
      <c r="G2337" s="724"/>
      <c r="H2337" s="724"/>
      <c r="I2337" s="724"/>
      <c r="K2337" s="521"/>
      <c r="L2337" s="521"/>
      <c r="M2337" s="521"/>
      <c r="N2337" s="521"/>
      <c r="O2337" s="521"/>
      <c r="P2337" s="521"/>
    </row>
    <row r="2338" spans="1:16" s="17" customFormat="1" ht="18" customHeight="1" x14ac:dyDescent="0.25">
      <c r="A2338" s="714" t="s">
        <v>951</v>
      </c>
      <c r="B2338" s="714"/>
      <c r="C2338" s="714"/>
      <c r="D2338" s="714"/>
      <c r="E2338" s="714"/>
      <c r="F2338" s="714"/>
      <c r="G2338" s="714"/>
      <c r="H2338" s="714"/>
      <c r="I2338" s="714"/>
      <c r="K2338" s="521"/>
      <c r="L2338" s="521"/>
      <c r="M2338" s="521"/>
      <c r="N2338" s="521"/>
      <c r="O2338" s="521"/>
      <c r="P2338" s="521"/>
    </row>
    <row r="2339" spans="1:16" s="17" customFormat="1" ht="20.25" customHeight="1" x14ac:dyDescent="0.25">
      <c r="A2339" s="537" t="s">
        <v>952</v>
      </c>
      <c r="B2339" s="523"/>
      <c r="C2339" s="537"/>
      <c r="D2339" s="537"/>
      <c r="E2339" s="537"/>
      <c r="F2339" s="537"/>
      <c r="G2339" s="537"/>
      <c r="H2339" s="537"/>
      <c r="I2339" s="537"/>
      <c r="K2339" s="521"/>
      <c r="L2339" s="521"/>
      <c r="M2339" s="521"/>
      <c r="N2339" s="521"/>
      <c r="O2339" s="521"/>
      <c r="P2339" s="521"/>
    </row>
    <row r="2340" spans="1:16" s="17" customFormat="1" ht="16.5" customHeight="1" x14ac:dyDescent="0.25">
      <c r="A2340" s="714" t="s">
        <v>963</v>
      </c>
      <c r="B2340" s="714"/>
      <c r="C2340" s="714"/>
      <c r="D2340" s="714"/>
      <c r="E2340" s="714"/>
      <c r="F2340" s="714"/>
      <c r="G2340" s="714"/>
      <c r="H2340" s="714"/>
      <c r="I2340" s="714"/>
      <c r="K2340" s="521"/>
      <c r="L2340" s="521"/>
      <c r="M2340" s="521"/>
      <c r="N2340" s="521"/>
      <c r="O2340" s="521"/>
      <c r="P2340" s="521"/>
    </row>
    <row r="2341" spans="1:16" s="17" customFormat="1" ht="16.5" customHeight="1" x14ac:dyDescent="0.25">
      <c r="A2341" s="714" t="s">
        <v>953</v>
      </c>
      <c r="B2341" s="714"/>
      <c r="C2341" s="714"/>
      <c r="D2341" s="714"/>
      <c r="E2341" s="714"/>
      <c r="F2341" s="714"/>
      <c r="G2341" s="714"/>
      <c r="H2341" s="714"/>
      <c r="I2341" s="714"/>
      <c r="K2341" s="521"/>
      <c r="L2341" s="521"/>
      <c r="M2341" s="521"/>
      <c r="N2341" s="521"/>
      <c r="O2341" s="521"/>
      <c r="P2341" s="521"/>
    </row>
    <row r="2342" spans="1:16" s="17" customFormat="1" ht="16.5" customHeight="1" x14ac:dyDescent="0.25">
      <c r="A2342" s="714" t="s">
        <v>954</v>
      </c>
      <c r="B2342" s="714"/>
      <c r="C2342" s="714"/>
      <c r="D2342" s="714"/>
      <c r="E2342" s="714"/>
      <c r="F2342" s="714"/>
      <c r="G2342" s="714"/>
      <c r="H2342" s="714"/>
      <c r="I2342" s="714"/>
      <c r="K2342" s="521"/>
      <c r="L2342" s="521"/>
      <c r="M2342" s="521"/>
      <c r="N2342" s="521"/>
      <c r="O2342" s="521"/>
      <c r="P2342" s="521"/>
    </row>
    <row r="2343" spans="1:16" s="17" customFormat="1" ht="16.5" customHeight="1" x14ac:dyDescent="0.25">
      <c r="A2343" s="714" t="s">
        <v>955</v>
      </c>
      <c r="B2343" s="714"/>
      <c r="C2343" s="714"/>
      <c r="D2343" s="714"/>
      <c r="E2343" s="714"/>
      <c r="F2343" s="714"/>
      <c r="G2343" s="714"/>
      <c r="H2343" s="714"/>
      <c r="I2343" s="714"/>
      <c r="K2343" s="521"/>
      <c r="L2343" s="521"/>
      <c r="M2343" s="521"/>
      <c r="N2343" s="521"/>
      <c r="O2343" s="521"/>
      <c r="P2343" s="521"/>
    </row>
    <row r="2344" spans="1:16" s="17" customFormat="1" ht="16.5" customHeight="1" x14ac:dyDescent="0.25">
      <c r="A2344" s="714" t="s">
        <v>956</v>
      </c>
      <c r="B2344" s="714"/>
      <c r="C2344" s="714"/>
      <c r="D2344" s="714"/>
      <c r="E2344" s="714"/>
      <c r="F2344" s="714"/>
      <c r="G2344" s="714"/>
      <c r="H2344" s="714"/>
      <c r="I2344" s="714"/>
      <c r="K2344" s="521"/>
      <c r="L2344" s="521"/>
      <c r="M2344" s="521"/>
      <c r="N2344" s="521"/>
      <c r="O2344" s="521"/>
      <c r="P2344" s="521"/>
    </row>
    <row r="2345" spans="1:16" s="17" customFormat="1" ht="16.5" customHeight="1" x14ac:dyDescent="0.25">
      <c r="A2345" s="686"/>
      <c r="B2345" s="686" t="s">
        <v>957</v>
      </c>
      <c r="C2345" s="686"/>
      <c r="D2345" s="686"/>
      <c r="E2345" s="686"/>
      <c r="F2345" s="686"/>
      <c r="G2345" s="686"/>
      <c r="H2345" s="686"/>
      <c r="I2345" s="686"/>
      <c r="K2345" s="696"/>
      <c r="L2345" s="696"/>
      <c r="M2345" s="696"/>
      <c r="N2345" s="696"/>
      <c r="O2345" s="696"/>
      <c r="P2345" s="696"/>
    </row>
    <row r="2346" spans="1:16" s="17" customFormat="1" ht="16.5" customHeight="1" x14ac:dyDescent="0.25">
      <c r="A2346" s="686" t="s">
        <v>958</v>
      </c>
      <c r="B2346" s="686"/>
      <c r="C2346" s="686"/>
      <c r="D2346" s="686"/>
      <c r="E2346" s="686"/>
      <c r="F2346" s="686"/>
      <c r="G2346" s="686"/>
      <c r="H2346" s="686"/>
      <c r="I2346" s="686"/>
      <c r="K2346" s="696"/>
      <c r="L2346" s="696"/>
      <c r="M2346" s="696"/>
      <c r="N2346" s="696"/>
      <c r="O2346" s="696"/>
      <c r="P2346" s="696"/>
    </row>
    <row r="2347" spans="1:16" s="17" customFormat="1" ht="15" customHeight="1" x14ac:dyDescent="0.25">
      <c r="A2347" s="523"/>
      <c r="B2347" s="523" t="s">
        <v>959</v>
      </c>
      <c r="C2347" s="523"/>
      <c r="D2347" s="523"/>
      <c r="E2347" s="523"/>
      <c r="F2347" s="523"/>
      <c r="G2347" s="523"/>
      <c r="H2347" s="523"/>
      <c r="I2347" s="523"/>
      <c r="K2347" s="521"/>
      <c r="L2347" s="521"/>
      <c r="M2347" s="521"/>
      <c r="N2347" s="521"/>
      <c r="O2347" s="521"/>
      <c r="P2347" s="521"/>
    </row>
    <row r="2348" spans="1:16" s="17" customFormat="1" ht="15" customHeight="1" x14ac:dyDescent="0.25">
      <c r="A2348" s="686"/>
      <c r="B2348" s="686"/>
      <c r="C2348" s="686"/>
      <c r="D2348" s="686"/>
      <c r="E2348" s="686"/>
      <c r="F2348" s="686"/>
      <c r="G2348" s="686"/>
      <c r="H2348" s="686"/>
      <c r="I2348" s="686"/>
      <c r="K2348" s="696"/>
      <c r="L2348" s="696"/>
      <c r="M2348" s="696"/>
      <c r="N2348" s="696"/>
      <c r="O2348" s="696"/>
      <c r="P2348" s="696"/>
    </row>
    <row r="2349" spans="1:16" s="17" customFormat="1" ht="15" customHeight="1" x14ac:dyDescent="0.25">
      <c r="A2349" s="594"/>
      <c r="B2349" s="594"/>
      <c r="C2349" s="594"/>
      <c r="D2349" s="594"/>
      <c r="E2349" s="594"/>
      <c r="F2349" s="594"/>
      <c r="G2349" s="594"/>
      <c r="H2349" s="594"/>
      <c r="I2349" s="594"/>
      <c r="K2349" s="596"/>
      <c r="L2349" s="596"/>
      <c r="M2349" s="596"/>
      <c r="N2349" s="596"/>
      <c r="O2349" s="596"/>
      <c r="P2349" s="596"/>
    </row>
    <row r="2350" spans="1:16" s="17" customFormat="1" ht="15" customHeight="1" x14ac:dyDescent="0.25">
      <c r="A2350" s="594"/>
      <c r="B2350" s="694" t="s">
        <v>555</v>
      </c>
      <c r="C2350" s="594"/>
      <c r="D2350" s="594"/>
      <c r="E2350" s="594"/>
      <c r="F2350" s="594"/>
      <c r="G2350" s="594"/>
      <c r="H2350" s="594"/>
      <c r="I2350" s="594"/>
      <c r="K2350" s="596"/>
      <c r="L2350" s="596"/>
      <c r="M2350" s="596"/>
      <c r="N2350" s="596"/>
      <c r="O2350" s="596"/>
      <c r="P2350" s="596"/>
    </row>
    <row r="2351" spans="1:16" s="17" customFormat="1" ht="15" customHeight="1" x14ac:dyDescent="0.25">
      <c r="A2351" s="686"/>
      <c r="B2351" s="694"/>
      <c r="C2351" s="686"/>
      <c r="D2351" s="686"/>
      <c r="E2351" s="686"/>
      <c r="F2351" s="686"/>
      <c r="G2351" s="686"/>
      <c r="H2351" s="686"/>
      <c r="I2351" s="686"/>
      <c r="K2351" s="696"/>
      <c r="L2351" s="696"/>
      <c r="M2351" s="696"/>
      <c r="N2351" s="696"/>
      <c r="O2351" s="696"/>
      <c r="P2351" s="696"/>
    </row>
    <row r="2352" spans="1:16" s="17" customFormat="1" ht="15" customHeight="1" x14ac:dyDescent="0.25">
      <c r="A2352" s="686"/>
      <c r="B2352" s="686" t="s">
        <v>961</v>
      </c>
      <c r="C2352" s="686"/>
      <c r="D2352" s="686"/>
      <c r="E2352" s="686"/>
      <c r="F2352" s="686"/>
      <c r="G2352" s="686"/>
      <c r="H2352" s="686"/>
      <c r="I2352" s="686"/>
      <c r="K2352" s="696"/>
      <c r="L2352" s="696"/>
      <c r="M2352" s="696"/>
      <c r="N2352" s="696"/>
      <c r="O2352" s="696"/>
      <c r="P2352" s="696"/>
    </row>
    <row r="2353" spans="1:16" s="17" customFormat="1" ht="15" customHeight="1" x14ac:dyDescent="0.25">
      <c r="A2353" s="686" t="s">
        <v>960</v>
      </c>
      <c r="B2353" s="686"/>
      <c r="C2353" s="686"/>
      <c r="D2353" s="686"/>
      <c r="E2353" s="686"/>
      <c r="F2353" s="686"/>
      <c r="G2353" s="686"/>
      <c r="H2353" s="686"/>
      <c r="I2353" s="686"/>
      <c r="K2353" s="696"/>
      <c r="L2353" s="696"/>
      <c r="M2353" s="696"/>
      <c r="N2353" s="696"/>
      <c r="O2353" s="696"/>
      <c r="P2353" s="696"/>
    </row>
    <row r="2354" spans="1:16" s="17" customFormat="1" ht="15" customHeight="1" x14ac:dyDescent="0.25">
      <c r="A2354" s="686"/>
      <c r="B2354" s="686"/>
      <c r="C2354" s="686"/>
      <c r="D2354" s="686"/>
      <c r="E2354" s="686"/>
      <c r="F2354" s="686"/>
      <c r="G2354" s="686"/>
      <c r="H2354" s="686"/>
      <c r="I2354" s="686"/>
      <c r="K2354" s="696"/>
      <c r="L2354" s="696"/>
      <c r="M2354" s="696"/>
      <c r="N2354" s="696"/>
      <c r="O2354" s="696"/>
      <c r="P2354" s="696"/>
    </row>
    <row r="2355" spans="1:16" s="17" customFormat="1" ht="15" customHeight="1" x14ac:dyDescent="0.25">
      <c r="A2355" s="697" t="s">
        <v>48</v>
      </c>
      <c r="B2355" s="702" t="s">
        <v>49</v>
      </c>
      <c r="C2355" s="703"/>
      <c r="D2355" s="380" t="s">
        <v>86</v>
      </c>
      <c r="E2355" s="693" t="s">
        <v>152</v>
      </c>
      <c r="F2355" s="40" t="s">
        <v>87</v>
      </c>
      <c r="G2355" s="744" t="s">
        <v>52</v>
      </c>
      <c r="H2355" s="745"/>
      <c r="I2355" s="708" t="s">
        <v>53</v>
      </c>
      <c r="K2355" s="696"/>
      <c r="L2355" s="696"/>
      <c r="M2355" s="696"/>
      <c r="N2355" s="696"/>
      <c r="O2355" s="696"/>
      <c r="P2355" s="696"/>
    </row>
    <row r="2356" spans="1:16" s="17" customFormat="1" ht="15" customHeight="1" x14ac:dyDescent="0.25">
      <c r="A2356" s="698" t="s">
        <v>88</v>
      </c>
      <c r="B2356" s="704"/>
      <c r="C2356" s="705"/>
      <c r="D2356" s="381" t="s">
        <v>541</v>
      </c>
      <c r="E2356" s="41" t="s">
        <v>573</v>
      </c>
      <c r="F2356" s="41" t="s">
        <v>607</v>
      </c>
      <c r="G2356" s="246" t="s">
        <v>55</v>
      </c>
      <c r="H2356" s="24" t="s">
        <v>56</v>
      </c>
      <c r="I2356" s="709"/>
      <c r="K2356" s="696"/>
      <c r="L2356" s="696"/>
      <c r="M2356" s="696"/>
      <c r="N2356" s="696"/>
      <c r="O2356" s="696"/>
      <c r="P2356" s="696"/>
    </row>
    <row r="2357" spans="1:16" s="17" customFormat="1" ht="15" customHeight="1" x14ac:dyDescent="0.25">
      <c r="A2357" s="142">
        <v>1</v>
      </c>
      <c r="B2357" s="710">
        <v>2</v>
      </c>
      <c r="C2357" s="711"/>
      <c r="D2357" s="683">
        <v>3</v>
      </c>
      <c r="E2357" s="129">
        <v>4</v>
      </c>
      <c r="F2357" s="129">
        <v>5</v>
      </c>
      <c r="G2357" s="129">
        <v>6</v>
      </c>
      <c r="H2357" s="129">
        <v>7</v>
      </c>
      <c r="I2357" s="142">
        <v>8</v>
      </c>
      <c r="K2357" s="696"/>
      <c r="L2357" s="696"/>
      <c r="M2357" s="696"/>
      <c r="N2357" s="696"/>
      <c r="O2357" s="696"/>
      <c r="P2357" s="696"/>
    </row>
    <row r="2358" spans="1:16" s="17" customFormat="1" ht="15" customHeight="1" x14ac:dyDescent="0.25">
      <c r="A2358" s="81">
        <v>111</v>
      </c>
      <c r="B2358" s="716" t="s">
        <v>184</v>
      </c>
      <c r="C2358" s="717"/>
      <c r="D2358" s="5">
        <f>D681</f>
        <v>0</v>
      </c>
      <c r="E2358" s="5">
        <f t="shared" ref="E2358:F2358" si="191">E681</f>
        <v>52505.25</v>
      </c>
      <c r="F2358" s="5">
        <f t="shared" si="191"/>
        <v>0</v>
      </c>
      <c r="G2358" s="86" t="e">
        <f t="shared" ref="G2358:G2363" si="192">F2358/D2358</f>
        <v>#DIV/0!</v>
      </c>
      <c r="H2358" s="87">
        <f t="shared" ref="H2358:H2363" si="193">F2358/E2358</f>
        <v>0</v>
      </c>
      <c r="I2358" s="87">
        <f>F2358/F2363</f>
        <v>0</v>
      </c>
      <c r="K2358" s="696"/>
      <c r="L2358" s="696"/>
      <c r="M2358" s="696"/>
      <c r="N2358" s="696"/>
      <c r="O2358" s="696"/>
      <c r="P2358" s="696"/>
    </row>
    <row r="2359" spans="1:16" s="17" customFormat="1" ht="15" customHeight="1" x14ac:dyDescent="0.25">
      <c r="A2359" s="81">
        <v>130</v>
      </c>
      <c r="B2359" s="716" t="s">
        <v>185</v>
      </c>
      <c r="C2359" s="717"/>
      <c r="D2359" s="5">
        <f>D896</f>
        <v>0</v>
      </c>
      <c r="E2359" s="5">
        <f t="shared" ref="E2359:F2359" si="194">E896</f>
        <v>45000</v>
      </c>
      <c r="F2359" s="5">
        <f t="shared" si="194"/>
        <v>16145.3</v>
      </c>
      <c r="G2359" s="86" t="e">
        <f t="shared" si="192"/>
        <v>#DIV/0!</v>
      </c>
      <c r="H2359" s="87">
        <f t="shared" si="193"/>
        <v>0.35878444444444441</v>
      </c>
      <c r="I2359" s="87">
        <f>F2359/F2363</f>
        <v>3.8825270387914113E-2</v>
      </c>
      <c r="K2359" s="696"/>
      <c r="L2359" s="696"/>
      <c r="M2359" s="696"/>
      <c r="N2359" s="696"/>
      <c r="O2359" s="696"/>
      <c r="P2359" s="696"/>
    </row>
    <row r="2360" spans="1:16" s="17" customFormat="1" ht="15" customHeight="1" x14ac:dyDescent="0.25">
      <c r="A2360" s="81">
        <v>132</v>
      </c>
      <c r="B2360" s="716" t="s">
        <v>186</v>
      </c>
      <c r="C2360" s="717"/>
      <c r="D2360" s="5">
        <f>D1012</f>
        <v>0</v>
      </c>
      <c r="E2360" s="5">
        <f t="shared" ref="E2360:F2360" si="195">E1012</f>
        <v>5000</v>
      </c>
      <c r="F2360" s="5">
        <f t="shared" si="195"/>
        <v>0</v>
      </c>
      <c r="G2360" s="86" t="e">
        <f t="shared" si="192"/>
        <v>#DIV/0!</v>
      </c>
      <c r="H2360" s="87">
        <f t="shared" si="193"/>
        <v>0</v>
      </c>
      <c r="I2360" s="87">
        <f>F2360/F2363</f>
        <v>0</v>
      </c>
      <c r="K2360" s="696"/>
      <c r="L2360" s="696"/>
      <c r="M2360" s="696"/>
      <c r="N2360" s="696"/>
      <c r="O2360" s="696"/>
      <c r="P2360" s="696"/>
    </row>
    <row r="2361" spans="1:16" s="17" customFormat="1" ht="15" customHeight="1" x14ac:dyDescent="0.25">
      <c r="A2361" s="81">
        <v>200</v>
      </c>
      <c r="B2361" s="716" t="s">
        <v>187</v>
      </c>
      <c r="C2361" s="717"/>
      <c r="D2361" s="5">
        <v>0</v>
      </c>
      <c r="E2361" s="5">
        <v>0</v>
      </c>
      <c r="F2361" s="5">
        <v>0</v>
      </c>
      <c r="G2361" s="86" t="e">
        <f t="shared" si="192"/>
        <v>#DIV/0!</v>
      </c>
      <c r="H2361" s="87" t="e">
        <f t="shared" si="193"/>
        <v>#DIV/0!</v>
      </c>
      <c r="I2361" s="87">
        <f>F2361/F2363</f>
        <v>0</v>
      </c>
      <c r="K2361" s="696"/>
      <c r="L2361" s="696"/>
      <c r="M2361" s="696"/>
      <c r="N2361" s="696"/>
      <c r="O2361" s="696"/>
      <c r="P2361" s="696"/>
    </row>
    <row r="2362" spans="1:16" s="17" customFormat="1" ht="15" customHeight="1" x14ac:dyDescent="0.25">
      <c r="A2362" s="81">
        <v>300</v>
      </c>
      <c r="B2362" s="716" t="s">
        <v>188</v>
      </c>
      <c r="C2362" s="717"/>
      <c r="D2362" s="5">
        <f>D1272</f>
        <v>60000.68</v>
      </c>
      <c r="E2362" s="5">
        <f t="shared" ref="E2362:F2362" si="196">E1272</f>
        <v>614274.77</v>
      </c>
      <c r="F2362" s="5">
        <f t="shared" si="196"/>
        <v>399699.84</v>
      </c>
      <c r="G2362" s="86">
        <f t="shared" si="192"/>
        <v>6.6615885019969774</v>
      </c>
      <c r="H2362" s="87">
        <f t="shared" si="193"/>
        <v>0.65068575093846037</v>
      </c>
      <c r="I2362" s="87">
        <f>F2362/F2363</f>
        <v>0.96117472961208594</v>
      </c>
      <c r="K2362" s="696"/>
      <c r="L2362" s="696"/>
      <c r="M2362" s="696"/>
      <c r="N2362" s="696"/>
      <c r="O2362" s="696"/>
      <c r="P2362" s="696"/>
    </row>
    <row r="2363" spans="1:16" s="17" customFormat="1" ht="15" customHeight="1" x14ac:dyDescent="0.25">
      <c r="A2363" s="146"/>
      <c r="B2363" s="684" t="s">
        <v>84</v>
      </c>
      <c r="C2363" s="685"/>
      <c r="D2363" s="465">
        <f>D2358+D2359+D2360+D2361+D2362</f>
        <v>60000.68</v>
      </c>
      <c r="E2363" s="465">
        <f>E2358+E2359+E2360+E2361+E2362</f>
        <v>716780.02</v>
      </c>
      <c r="F2363" s="383">
        <f>F2358+F2359+F2360+F2361+F2362</f>
        <v>415845.14</v>
      </c>
      <c r="G2363" s="169">
        <f t="shared" si="192"/>
        <v>6.9306737856970955</v>
      </c>
      <c r="H2363" s="137">
        <f t="shared" si="193"/>
        <v>0.58015727056677724</v>
      </c>
      <c r="I2363" s="137">
        <f>SUM(I2358:I2362)</f>
        <v>1</v>
      </c>
      <c r="K2363" s="696"/>
      <c r="L2363" s="696"/>
      <c r="M2363" s="696"/>
      <c r="N2363" s="696"/>
      <c r="O2363" s="696"/>
      <c r="P2363" s="696"/>
    </row>
    <row r="2364" spans="1:16" s="17" customFormat="1" ht="15" customHeight="1" x14ac:dyDescent="0.25">
      <c r="A2364" s="686"/>
      <c r="B2364" s="686"/>
      <c r="C2364" s="686"/>
      <c r="D2364" s="686"/>
      <c r="E2364" s="686"/>
      <c r="F2364" s="686"/>
      <c r="G2364" s="686"/>
      <c r="H2364" s="686"/>
      <c r="I2364" s="686"/>
      <c r="K2364" s="696"/>
      <c r="L2364" s="696"/>
      <c r="M2364" s="696"/>
      <c r="N2364" s="696"/>
      <c r="O2364" s="696"/>
      <c r="P2364" s="696"/>
    </row>
    <row r="2365" spans="1:16" s="17" customFormat="1" ht="15" customHeight="1" x14ac:dyDescent="0.25">
      <c r="A2365" s="686"/>
      <c r="B2365" s="686" t="s">
        <v>962</v>
      </c>
      <c r="C2365" s="686"/>
      <c r="D2365" s="686"/>
      <c r="E2365" s="686"/>
      <c r="F2365" s="686"/>
      <c r="G2365" s="686"/>
      <c r="H2365" s="686"/>
      <c r="I2365" s="686"/>
      <c r="K2365" s="696"/>
      <c r="L2365" s="696"/>
      <c r="M2365" s="696"/>
      <c r="N2365" s="696"/>
      <c r="O2365" s="696"/>
      <c r="P2365" s="696"/>
    </row>
    <row r="2366" spans="1:16" s="17" customFormat="1" ht="15" customHeight="1" x14ac:dyDescent="0.25">
      <c r="A2366" s="686"/>
      <c r="B2366" s="686" t="s">
        <v>964</v>
      </c>
      <c r="C2366" s="686"/>
      <c r="D2366" s="686"/>
      <c r="E2366" s="686"/>
      <c r="F2366" s="686"/>
      <c r="G2366" s="686"/>
      <c r="H2366" s="686"/>
      <c r="I2366" s="686"/>
      <c r="K2366" s="696"/>
      <c r="L2366" s="696"/>
      <c r="M2366" s="696"/>
      <c r="N2366" s="696"/>
      <c r="O2366" s="696"/>
      <c r="P2366" s="696"/>
    </row>
    <row r="2367" spans="1:16" s="17" customFormat="1" ht="15" customHeight="1" x14ac:dyDescent="0.25">
      <c r="A2367" s="686"/>
      <c r="B2367" s="686" t="s">
        <v>965</v>
      </c>
      <c r="C2367" s="686"/>
      <c r="D2367" s="686"/>
      <c r="E2367" s="686"/>
      <c r="F2367" s="686"/>
      <c r="G2367" s="686"/>
      <c r="H2367" s="686"/>
      <c r="I2367" s="686"/>
      <c r="K2367" s="696"/>
      <c r="L2367" s="696"/>
      <c r="M2367" s="696"/>
      <c r="N2367" s="696"/>
      <c r="O2367" s="696"/>
      <c r="P2367" s="696"/>
    </row>
    <row r="2368" spans="1:16" s="17" customFormat="1" ht="15" customHeight="1" x14ac:dyDescent="0.25">
      <c r="A2368" s="594" t="s">
        <v>966</v>
      </c>
      <c r="B2368" s="594"/>
      <c r="C2368" s="594"/>
      <c r="D2368" s="594"/>
      <c r="E2368" s="594"/>
      <c r="F2368" s="594"/>
      <c r="G2368" s="594"/>
      <c r="H2368" s="594"/>
      <c r="I2368" s="594"/>
      <c r="K2368" s="596"/>
      <c r="L2368" s="596"/>
      <c r="M2368" s="596"/>
      <c r="N2368" s="596"/>
      <c r="O2368" s="596"/>
      <c r="P2368" s="596"/>
    </row>
    <row r="2369" spans="1:16" s="17" customFormat="1" ht="15" customHeight="1" x14ac:dyDescent="0.25">
      <c r="A2369" s="686"/>
      <c r="B2369" s="686"/>
      <c r="C2369" s="686"/>
      <c r="D2369" s="686"/>
      <c r="E2369" s="686"/>
      <c r="F2369" s="686"/>
      <c r="G2369" s="686"/>
      <c r="H2369" s="686"/>
      <c r="I2369" s="686"/>
      <c r="K2369" s="696"/>
      <c r="L2369" s="696"/>
      <c r="M2369" s="696"/>
      <c r="N2369" s="696"/>
      <c r="O2369" s="696"/>
      <c r="P2369" s="696"/>
    </row>
    <row r="2370" spans="1:16" s="17" customFormat="1" ht="15" customHeight="1" x14ac:dyDescent="0.25">
      <c r="A2370" s="686"/>
      <c r="B2370" s="686"/>
      <c r="C2370" s="686"/>
      <c r="D2370" s="686"/>
      <c r="E2370" s="686"/>
      <c r="F2370" s="686"/>
      <c r="G2370" s="686"/>
      <c r="H2370" s="686"/>
      <c r="I2370" s="686"/>
      <c r="K2370" s="696"/>
      <c r="L2370" s="696"/>
      <c r="M2370" s="696"/>
      <c r="N2370" s="696"/>
      <c r="O2370" s="696"/>
      <c r="P2370" s="696"/>
    </row>
    <row r="2371" spans="1:16" s="17" customFormat="1" ht="15" customHeight="1" x14ac:dyDescent="0.25">
      <c r="A2371" s="686"/>
      <c r="B2371" s="686"/>
      <c r="C2371" s="686"/>
      <c r="D2371" s="686"/>
      <c r="E2371" s="686"/>
      <c r="F2371" s="686"/>
      <c r="G2371" s="686"/>
      <c r="H2371" s="686"/>
      <c r="I2371" s="686"/>
      <c r="K2371" s="696"/>
      <c r="L2371" s="696"/>
      <c r="M2371" s="696"/>
      <c r="N2371" s="696"/>
      <c r="O2371" s="696"/>
      <c r="P2371" s="696"/>
    </row>
    <row r="2372" spans="1:16" s="17" customFormat="1" ht="15" customHeight="1" x14ac:dyDescent="0.25">
      <c r="A2372" s="686"/>
      <c r="B2372" s="686"/>
      <c r="C2372" s="686"/>
      <c r="D2372" s="686"/>
      <c r="E2372" s="686"/>
      <c r="F2372" s="686"/>
      <c r="G2372" s="686"/>
      <c r="H2372" s="686"/>
      <c r="I2372" s="686"/>
      <c r="K2372" s="696"/>
      <c r="L2372" s="696"/>
      <c r="M2372" s="696"/>
      <c r="N2372" s="696"/>
      <c r="O2372" s="696"/>
      <c r="P2372" s="696"/>
    </row>
    <row r="2373" spans="1:16" s="17" customFormat="1" ht="15" customHeight="1" x14ac:dyDescent="0.25">
      <c r="A2373" s="686"/>
      <c r="B2373" s="686"/>
      <c r="C2373" s="686"/>
      <c r="D2373" s="686"/>
      <c r="E2373" s="686"/>
      <c r="F2373" s="686"/>
      <c r="G2373" s="686"/>
      <c r="H2373" s="686"/>
      <c r="I2373" s="686"/>
      <c r="K2373" s="696"/>
      <c r="L2373" s="696"/>
      <c r="M2373" s="696"/>
      <c r="N2373" s="696"/>
      <c r="O2373" s="696"/>
      <c r="P2373" s="696"/>
    </row>
    <row r="2374" spans="1:16" s="17" customFormat="1" ht="15" customHeight="1" x14ac:dyDescent="0.25">
      <c r="A2374" s="686"/>
      <c r="B2374" s="686"/>
      <c r="C2374" s="686"/>
      <c r="D2374" s="686"/>
      <c r="E2374" s="686"/>
      <c r="F2374" s="686"/>
      <c r="G2374" s="686"/>
      <c r="H2374" s="686"/>
      <c r="I2374" s="686"/>
      <c r="K2374" s="696"/>
      <c r="L2374" s="696"/>
      <c r="M2374" s="696"/>
      <c r="N2374" s="696"/>
      <c r="O2374" s="696"/>
      <c r="P2374" s="696"/>
    </row>
    <row r="2375" spans="1:16" s="17" customFormat="1" ht="15" customHeight="1" x14ac:dyDescent="0.25">
      <c r="A2375" s="686"/>
      <c r="B2375" s="686"/>
      <c r="C2375" s="686"/>
      <c r="D2375" s="686"/>
      <c r="E2375" s="686"/>
      <c r="F2375" s="686"/>
      <c r="G2375" s="686"/>
      <c r="H2375" s="686"/>
      <c r="I2375" s="686"/>
      <c r="K2375" s="696"/>
      <c r="L2375" s="696"/>
      <c r="M2375" s="696"/>
      <c r="N2375" s="696"/>
      <c r="O2375" s="696"/>
      <c r="P2375" s="696"/>
    </row>
    <row r="2376" spans="1:16" s="17" customFormat="1" ht="15" customHeight="1" x14ac:dyDescent="0.25">
      <c r="A2376" s="686"/>
      <c r="B2376" s="686"/>
      <c r="C2376" s="686"/>
      <c r="D2376" s="686"/>
      <c r="E2376" s="686"/>
      <c r="F2376" s="686"/>
      <c r="G2376" s="686"/>
      <c r="H2376" s="686"/>
      <c r="I2376" s="686"/>
      <c r="K2376" s="696"/>
      <c r="L2376" s="696"/>
      <c r="M2376" s="696"/>
      <c r="N2376" s="696"/>
      <c r="O2376" s="696"/>
      <c r="P2376" s="696"/>
    </row>
    <row r="2377" spans="1:16" s="17" customFormat="1" ht="15" customHeight="1" x14ac:dyDescent="0.25">
      <c r="A2377" s="686"/>
      <c r="B2377" s="686"/>
      <c r="C2377" s="686"/>
      <c r="D2377" s="686"/>
      <c r="E2377" s="686"/>
      <c r="F2377" s="686"/>
      <c r="G2377" s="686"/>
      <c r="H2377" s="686"/>
      <c r="I2377" s="686"/>
      <c r="K2377" s="696"/>
      <c r="L2377" s="696"/>
      <c r="M2377" s="696"/>
      <c r="N2377" s="696"/>
      <c r="O2377" s="696"/>
      <c r="P2377" s="696"/>
    </row>
    <row r="2378" spans="1:16" s="17" customFormat="1" ht="15" customHeight="1" x14ac:dyDescent="0.25">
      <c r="A2378" s="686"/>
      <c r="B2378" s="686"/>
      <c r="C2378" s="686"/>
      <c r="D2378" s="686"/>
      <c r="E2378" s="686"/>
      <c r="F2378" s="686"/>
      <c r="G2378" s="686"/>
      <c r="H2378" s="686"/>
      <c r="I2378" s="686"/>
      <c r="K2378" s="696"/>
      <c r="L2378" s="696"/>
      <c r="M2378" s="696"/>
      <c r="N2378" s="696"/>
      <c r="O2378" s="696"/>
      <c r="P2378" s="696"/>
    </row>
    <row r="2379" spans="1:16" s="17" customFormat="1" ht="15" customHeight="1" x14ac:dyDescent="0.25">
      <c r="A2379" s="686"/>
      <c r="B2379" s="686"/>
      <c r="C2379" s="686"/>
      <c r="D2379" s="686"/>
      <c r="E2379" s="686"/>
      <c r="F2379" s="686"/>
      <c r="G2379" s="686"/>
      <c r="H2379" s="686"/>
      <c r="I2379" s="686"/>
      <c r="K2379" s="696"/>
      <c r="L2379" s="696"/>
      <c r="M2379" s="696"/>
      <c r="N2379" s="696"/>
      <c r="O2379" s="696"/>
      <c r="P2379" s="696"/>
    </row>
    <row r="2380" spans="1:16" s="17" customFormat="1" ht="15" customHeight="1" x14ac:dyDescent="0.25">
      <c r="A2380" s="686"/>
      <c r="B2380" s="686"/>
      <c r="C2380" s="686"/>
      <c r="D2380" s="686"/>
      <c r="E2380" s="686"/>
      <c r="F2380" s="686"/>
      <c r="G2380" s="686"/>
      <c r="H2380" s="686"/>
      <c r="I2380" s="409">
        <v>39</v>
      </c>
      <c r="K2380" s="696"/>
      <c r="L2380" s="696"/>
      <c r="M2380" s="696"/>
      <c r="N2380" s="696"/>
      <c r="O2380" s="696"/>
      <c r="P2380" s="696"/>
    </row>
    <row r="2381" spans="1:16" s="17" customFormat="1" ht="15" customHeight="1" x14ac:dyDescent="0.25">
      <c r="A2381" s="686"/>
      <c r="B2381" s="686"/>
      <c r="C2381" s="686"/>
      <c r="D2381" s="686"/>
      <c r="E2381" s="686"/>
      <c r="F2381" s="686"/>
      <c r="G2381" s="686"/>
      <c r="H2381" s="686"/>
      <c r="I2381" s="686"/>
      <c r="K2381" s="696"/>
      <c r="L2381" s="696"/>
      <c r="M2381" s="696"/>
      <c r="N2381" s="696"/>
      <c r="O2381" s="696"/>
      <c r="P2381" s="696"/>
    </row>
    <row r="2382" spans="1:16" s="17" customFormat="1" ht="15" customHeight="1" x14ac:dyDescent="0.25">
      <c r="A2382" s="686"/>
      <c r="B2382" s="686"/>
      <c r="C2382" s="686"/>
      <c r="D2382" s="686"/>
      <c r="E2382" s="686"/>
      <c r="F2382" s="686"/>
      <c r="G2382" s="686"/>
      <c r="H2382" s="686"/>
      <c r="I2382" s="409"/>
      <c r="K2382" s="696"/>
      <c r="L2382" s="696"/>
      <c r="M2382" s="696"/>
      <c r="N2382" s="696"/>
      <c r="O2382" s="696"/>
      <c r="P2382" s="696"/>
    </row>
    <row r="2383" spans="1:16" s="17" customFormat="1" ht="15" customHeight="1" x14ac:dyDescent="0.25">
      <c r="A2383" s="523"/>
      <c r="B2383" s="523"/>
      <c r="C2383" s="523"/>
      <c r="D2383" s="523"/>
      <c r="E2383" s="523"/>
      <c r="F2383" s="523"/>
      <c r="G2383" s="523"/>
      <c r="H2383" s="523"/>
      <c r="I2383" s="279"/>
      <c r="K2383" s="521"/>
      <c r="L2383" s="521"/>
      <c r="M2383" s="521"/>
      <c r="N2383" s="521"/>
      <c r="O2383" s="521"/>
      <c r="P2383" s="521"/>
    </row>
    <row r="2384" spans="1:16" s="17" customFormat="1" ht="16.5" customHeight="1" x14ac:dyDescent="0.25">
      <c r="A2384" s="523"/>
      <c r="B2384" s="523"/>
      <c r="C2384" s="523"/>
      <c r="D2384" s="523"/>
      <c r="E2384" s="523"/>
      <c r="F2384" s="523"/>
      <c r="G2384" s="523"/>
      <c r="H2384" s="523"/>
      <c r="I2384" s="523"/>
      <c r="K2384" s="521"/>
      <c r="L2384" s="521"/>
      <c r="M2384" s="521"/>
      <c r="N2384" s="521"/>
      <c r="O2384" s="521"/>
      <c r="P2384" s="521"/>
    </row>
    <row r="2385" spans="1:16" s="17" customFormat="1" ht="16.5" customHeight="1" x14ac:dyDescent="0.25">
      <c r="A2385" s="540"/>
      <c r="B2385" s="722" t="s">
        <v>361</v>
      </c>
      <c r="C2385" s="722"/>
      <c r="D2385" s="722"/>
      <c r="E2385" s="540"/>
      <c r="F2385" s="540"/>
      <c r="G2385" s="541"/>
      <c r="H2385" s="260"/>
      <c r="I2385" s="245"/>
      <c r="K2385" s="521"/>
      <c r="L2385" s="521"/>
      <c r="M2385" s="521"/>
      <c r="N2385" s="521"/>
      <c r="O2385" s="521"/>
      <c r="P2385" s="521"/>
    </row>
    <row r="2386" spans="1:16" s="17" customFormat="1" ht="16.5" customHeight="1" x14ac:dyDescent="0.25">
      <c r="A2386" s="540"/>
      <c r="B2386" s="529"/>
      <c r="C2386" s="529"/>
      <c r="D2386" s="529"/>
      <c r="E2386" s="540"/>
      <c r="F2386" s="540"/>
      <c r="G2386" s="541"/>
      <c r="H2386" s="260"/>
      <c r="I2386" s="245"/>
      <c r="K2386" s="521"/>
      <c r="L2386" s="521"/>
      <c r="M2386" s="521"/>
      <c r="N2386" s="521"/>
      <c r="O2386" s="521"/>
      <c r="P2386" s="521"/>
    </row>
    <row r="2387" spans="1:16" s="17" customFormat="1" ht="16.5" customHeight="1" x14ac:dyDescent="0.25">
      <c r="A2387" s="723" t="s">
        <v>967</v>
      </c>
      <c r="B2387" s="723"/>
      <c r="C2387" s="723"/>
      <c r="D2387" s="723"/>
      <c r="E2387" s="723"/>
      <c r="F2387" s="723"/>
      <c r="G2387" s="723"/>
      <c r="H2387" s="723"/>
      <c r="I2387" s="723"/>
      <c r="K2387" s="521"/>
      <c r="L2387" s="521"/>
      <c r="M2387" s="521"/>
      <c r="N2387" s="521"/>
      <c r="O2387" s="521"/>
      <c r="P2387" s="521"/>
    </row>
    <row r="2388" spans="1:16" s="17" customFormat="1" ht="16.5" customHeight="1" x14ac:dyDescent="0.25">
      <c r="A2388" s="723" t="s">
        <v>968</v>
      </c>
      <c r="B2388" s="723"/>
      <c r="C2388" s="723"/>
      <c r="D2388" s="723"/>
      <c r="E2388" s="723"/>
      <c r="F2388" s="723"/>
      <c r="G2388" s="723"/>
      <c r="H2388" s="723"/>
      <c r="I2388" s="723"/>
      <c r="K2388" s="521"/>
      <c r="L2388" s="521"/>
      <c r="M2388" s="521"/>
      <c r="N2388" s="521"/>
      <c r="O2388" s="521"/>
      <c r="P2388" s="521"/>
    </row>
    <row r="2389" spans="1:16" s="17" customFormat="1" ht="16.5" customHeight="1" x14ac:dyDescent="0.25">
      <c r="A2389" s="720" t="s">
        <v>554</v>
      </c>
      <c r="B2389" s="720"/>
      <c r="C2389" s="720"/>
      <c r="D2389" s="720"/>
      <c r="E2389" s="720"/>
      <c r="F2389" s="720"/>
      <c r="G2389" s="720"/>
      <c r="H2389" s="720"/>
      <c r="I2389" s="720"/>
      <c r="K2389" s="521"/>
      <c r="L2389" s="521"/>
      <c r="M2389" s="521"/>
      <c r="N2389" s="521"/>
      <c r="O2389" s="521"/>
      <c r="P2389" s="521"/>
    </row>
    <row r="2390" spans="1:16" s="17" customFormat="1" ht="16.5" customHeight="1" x14ac:dyDescent="0.25">
      <c r="A2390" s="720" t="s">
        <v>969</v>
      </c>
      <c r="B2390" s="720"/>
      <c r="C2390" s="720"/>
      <c r="D2390" s="720"/>
      <c r="E2390" s="720"/>
      <c r="F2390" s="720"/>
      <c r="G2390" s="720"/>
      <c r="H2390" s="720"/>
      <c r="I2390" s="720"/>
      <c r="K2390" s="521"/>
      <c r="L2390" s="521"/>
      <c r="M2390" s="521"/>
      <c r="N2390" s="521"/>
      <c r="O2390" s="521"/>
      <c r="P2390" s="521"/>
    </row>
    <row r="2391" spans="1:16" s="17" customFormat="1" ht="16.5" customHeight="1" x14ac:dyDescent="0.25">
      <c r="A2391" s="523"/>
      <c r="B2391" s="523"/>
      <c r="C2391" s="523"/>
      <c r="D2391" s="523"/>
      <c r="E2391" s="701" t="s">
        <v>85</v>
      </c>
      <c r="F2391" s="523"/>
      <c r="G2391" s="523"/>
      <c r="H2391" s="523"/>
      <c r="I2391" s="523"/>
      <c r="K2391" s="521"/>
      <c r="L2391" s="521"/>
      <c r="M2391" s="521"/>
      <c r="N2391" s="521"/>
      <c r="O2391" s="521"/>
      <c r="P2391" s="521"/>
    </row>
    <row r="2392" spans="1:16" s="17" customFormat="1" ht="16.5" customHeight="1" x14ac:dyDescent="0.25">
      <c r="A2392" s="192"/>
      <c r="B2392" s="214"/>
      <c r="C2392" s="15"/>
      <c r="D2392" s="537"/>
      <c r="E2392" s="701"/>
      <c r="F2392" s="537"/>
      <c r="G2392" s="192"/>
      <c r="H2392" s="537"/>
      <c r="I2392" s="537"/>
      <c r="K2392" s="521"/>
      <c r="L2392" s="521"/>
      <c r="M2392" s="521"/>
      <c r="N2392" s="521"/>
      <c r="O2392" s="521"/>
      <c r="P2392" s="521"/>
    </row>
    <row r="2393" spans="1:16" s="17" customFormat="1" ht="16.5" customHeight="1" x14ac:dyDescent="0.25">
      <c r="A2393" s="557" t="s">
        <v>48</v>
      </c>
      <c r="B2393" s="702" t="s">
        <v>49</v>
      </c>
      <c r="C2393" s="703"/>
      <c r="D2393" s="380" t="s">
        <v>86</v>
      </c>
      <c r="E2393" s="530" t="s">
        <v>321</v>
      </c>
      <c r="F2393" s="40" t="s">
        <v>87</v>
      </c>
      <c r="G2393" s="706" t="s">
        <v>52</v>
      </c>
      <c r="H2393" s="707"/>
      <c r="I2393" s="708" t="s">
        <v>53</v>
      </c>
      <c r="K2393" s="521"/>
      <c r="L2393" s="521"/>
      <c r="M2393" s="521"/>
      <c r="N2393" s="521"/>
      <c r="O2393" s="521"/>
      <c r="P2393" s="521"/>
    </row>
    <row r="2394" spans="1:16" s="17" customFormat="1" ht="16.5" customHeight="1" x14ac:dyDescent="0.25">
      <c r="A2394" s="574" t="s">
        <v>88</v>
      </c>
      <c r="B2394" s="704"/>
      <c r="C2394" s="705"/>
      <c r="D2394" s="381" t="s">
        <v>541</v>
      </c>
      <c r="E2394" s="41" t="s">
        <v>573</v>
      </c>
      <c r="F2394" s="41" t="s">
        <v>607</v>
      </c>
      <c r="G2394" s="24" t="s">
        <v>55</v>
      </c>
      <c r="H2394" s="24" t="s">
        <v>56</v>
      </c>
      <c r="I2394" s="709"/>
      <c r="K2394" s="521"/>
      <c r="L2394" s="521"/>
      <c r="M2394" s="521"/>
      <c r="N2394" s="521"/>
      <c r="O2394" s="521"/>
      <c r="P2394" s="521"/>
    </row>
    <row r="2395" spans="1:16" s="17" customFormat="1" ht="16.5" customHeight="1" x14ac:dyDescent="0.25">
      <c r="A2395" s="267">
        <v>1</v>
      </c>
      <c r="B2395" s="728">
        <v>2</v>
      </c>
      <c r="C2395" s="729"/>
      <c r="D2395" s="312">
        <v>3</v>
      </c>
      <c r="E2395" s="166">
        <v>4</v>
      </c>
      <c r="F2395" s="166">
        <v>5</v>
      </c>
      <c r="G2395" s="166">
        <v>6</v>
      </c>
      <c r="H2395" s="313">
        <v>7</v>
      </c>
      <c r="I2395" s="142">
        <v>8</v>
      </c>
      <c r="K2395" s="521"/>
      <c r="L2395" s="521"/>
      <c r="M2395" s="521"/>
      <c r="N2395" s="521"/>
      <c r="O2395" s="521"/>
      <c r="P2395" s="521"/>
    </row>
    <row r="2396" spans="1:16" s="17" customFormat="1" ht="16.5" customHeight="1" x14ac:dyDescent="0.25">
      <c r="A2396" s="79">
        <v>50008</v>
      </c>
      <c r="B2396" s="712" t="s">
        <v>435</v>
      </c>
      <c r="C2396" s="713"/>
      <c r="D2396" s="5">
        <f t="shared" ref="D2396:F2398" si="197">D340</f>
        <v>0</v>
      </c>
      <c r="E2396" s="289">
        <f t="shared" si="197"/>
        <v>500</v>
      </c>
      <c r="F2396" s="5">
        <f t="shared" si="197"/>
        <v>0</v>
      </c>
      <c r="G2396" s="86" t="e">
        <f t="shared" ref="G2396:G2403" si="198">F2396/D2396</f>
        <v>#DIV/0!</v>
      </c>
      <c r="H2396" s="144">
        <f t="shared" ref="H2396:H2403" si="199">F2396/E2396</f>
        <v>0</v>
      </c>
      <c r="I2396" s="114">
        <f>F2396/F2399</f>
        <v>0</v>
      </c>
      <c r="K2396" s="521"/>
      <c r="L2396" s="521"/>
      <c r="M2396" s="521"/>
      <c r="N2396" s="521"/>
      <c r="O2396" s="521"/>
      <c r="P2396" s="521"/>
    </row>
    <row r="2397" spans="1:16" s="17" customFormat="1" ht="16.5" customHeight="1" x14ac:dyDescent="0.25">
      <c r="A2397" s="79">
        <v>50408</v>
      </c>
      <c r="B2397" s="562" t="s">
        <v>433</v>
      </c>
      <c r="C2397" s="515"/>
      <c r="D2397" s="5">
        <f t="shared" si="197"/>
        <v>55</v>
      </c>
      <c r="E2397" s="5">
        <f t="shared" si="197"/>
        <v>0</v>
      </c>
      <c r="F2397" s="5">
        <f t="shared" si="197"/>
        <v>0</v>
      </c>
      <c r="G2397" s="86">
        <f>F2397/D2397</f>
        <v>0</v>
      </c>
      <c r="H2397" s="144" t="e">
        <f>F2397/E2397</f>
        <v>#DIV/0!</v>
      </c>
      <c r="I2397" s="114">
        <f>F2397/F2399</f>
        <v>0</v>
      </c>
      <c r="K2397" s="521"/>
      <c r="L2397" s="521"/>
      <c r="M2397" s="521"/>
      <c r="N2397" s="521"/>
      <c r="O2397" s="521"/>
      <c r="P2397" s="521"/>
    </row>
    <row r="2398" spans="1:16" s="17" customFormat="1" ht="16.5" customHeight="1" x14ac:dyDescent="0.25">
      <c r="A2398" s="81" t="s">
        <v>362</v>
      </c>
      <c r="B2398" s="712" t="s">
        <v>363</v>
      </c>
      <c r="C2398" s="713"/>
      <c r="D2398" s="5">
        <f t="shared" si="197"/>
        <v>2538</v>
      </c>
      <c r="E2398" s="289">
        <f t="shared" si="197"/>
        <v>0</v>
      </c>
      <c r="F2398" s="5">
        <f t="shared" si="197"/>
        <v>987</v>
      </c>
      <c r="G2398" s="86">
        <f t="shared" si="198"/>
        <v>0.3888888888888889</v>
      </c>
      <c r="H2398" s="144" t="e">
        <f t="shared" si="199"/>
        <v>#DIV/0!</v>
      </c>
      <c r="I2398" s="114">
        <f>F2398/F2399</f>
        <v>1</v>
      </c>
      <c r="K2398" s="521"/>
      <c r="L2398" s="521"/>
      <c r="M2398" s="521"/>
      <c r="N2398" s="521"/>
      <c r="O2398" s="521"/>
      <c r="P2398" s="521"/>
    </row>
    <row r="2399" spans="1:16" s="17" customFormat="1" ht="16.5" customHeight="1" x14ac:dyDescent="0.25">
      <c r="A2399" s="81"/>
      <c r="B2399" s="736" t="s">
        <v>97</v>
      </c>
      <c r="C2399" s="737"/>
      <c r="D2399" s="99">
        <f>D2396+D2397+D2398</f>
        <v>2593</v>
      </c>
      <c r="E2399" s="99">
        <f t="shared" ref="E2399" si="200">E2396+E2398</f>
        <v>500</v>
      </c>
      <c r="F2399" s="99">
        <f>F2396+F2397+F2398</f>
        <v>987</v>
      </c>
      <c r="G2399" s="116">
        <f t="shared" si="198"/>
        <v>0.38064018511376785</v>
      </c>
      <c r="H2399" s="28">
        <f t="shared" si="199"/>
        <v>1.974</v>
      </c>
      <c r="I2399" s="108">
        <f>F2399/F2403</f>
        <v>1</v>
      </c>
      <c r="K2399" s="521"/>
      <c r="L2399" s="521"/>
      <c r="M2399" s="521"/>
      <c r="N2399" s="521"/>
      <c r="O2399" s="521"/>
      <c r="P2399" s="521"/>
    </row>
    <row r="2400" spans="1:16" s="17" customFormat="1" ht="16.5" customHeight="1" x14ac:dyDescent="0.25">
      <c r="A2400" s="81"/>
      <c r="B2400" s="738" t="s">
        <v>140</v>
      </c>
      <c r="C2400" s="739"/>
      <c r="D2400" s="99">
        <f>D2401+D2402</f>
        <v>12376.55</v>
      </c>
      <c r="E2400" s="99">
        <f t="shared" ref="E2400" si="201">E2401</f>
        <v>0</v>
      </c>
      <c r="F2400" s="99">
        <f>F2401+F2402</f>
        <v>0</v>
      </c>
      <c r="G2400" s="27">
        <f t="shared" si="198"/>
        <v>0</v>
      </c>
      <c r="H2400" s="28" t="e">
        <f t="shared" si="199"/>
        <v>#DIV/0!</v>
      </c>
      <c r="I2400" s="108">
        <f>F2400/F2403</f>
        <v>0</v>
      </c>
      <c r="K2400" s="521"/>
      <c r="L2400" s="521"/>
      <c r="M2400" s="521"/>
      <c r="N2400" s="521"/>
      <c r="O2400" s="521"/>
      <c r="P2400" s="521"/>
    </row>
    <row r="2401" spans="1:16" s="17" customFormat="1" ht="16.5" customHeight="1" x14ac:dyDescent="0.25">
      <c r="A2401" s="81"/>
      <c r="B2401" s="740" t="s">
        <v>458</v>
      </c>
      <c r="C2401" s="741"/>
      <c r="D2401" s="5">
        <f>D346</f>
        <v>4517</v>
      </c>
      <c r="E2401" s="289">
        <v>0</v>
      </c>
      <c r="F2401" s="5">
        <f>F346</f>
        <v>0</v>
      </c>
      <c r="G2401" s="86">
        <f t="shared" si="198"/>
        <v>0</v>
      </c>
      <c r="H2401" s="144" t="e">
        <f t="shared" si="199"/>
        <v>#DIV/0!</v>
      </c>
      <c r="I2401" s="114">
        <f>F2401/F2403</f>
        <v>0</v>
      </c>
      <c r="K2401" s="521"/>
      <c r="L2401" s="521"/>
      <c r="M2401" s="521"/>
      <c r="N2401" s="521"/>
      <c r="O2401" s="521"/>
      <c r="P2401" s="521"/>
    </row>
    <row r="2402" spans="1:16" s="17" customFormat="1" ht="16.5" customHeight="1" x14ac:dyDescent="0.25">
      <c r="A2402" s="81"/>
      <c r="B2402" s="590"/>
      <c r="C2402" s="593" t="s">
        <v>475</v>
      </c>
      <c r="D2402" s="5">
        <f>D345</f>
        <v>7859.55</v>
      </c>
      <c r="E2402" s="289">
        <v>0</v>
      </c>
      <c r="F2402" s="5">
        <f>F345</f>
        <v>0</v>
      </c>
      <c r="G2402" s="86"/>
      <c r="H2402" s="144"/>
      <c r="I2402" s="114"/>
      <c r="K2402" s="521"/>
      <c r="L2402" s="521"/>
      <c r="M2402" s="521"/>
      <c r="N2402" s="521"/>
      <c r="O2402" s="521"/>
      <c r="P2402" s="521"/>
    </row>
    <row r="2403" spans="1:16" s="17" customFormat="1" ht="16.5" customHeight="1" x14ac:dyDescent="0.25">
      <c r="A2403" s="146"/>
      <c r="B2403" s="730" t="s">
        <v>333</v>
      </c>
      <c r="C2403" s="730"/>
      <c r="D2403" s="493">
        <f>D2399+D2400</f>
        <v>14969.55</v>
      </c>
      <c r="E2403" s="465">
        <f t="shared" ref="E2403:F2403" si="202">E2399+E2400</f>
        <v>500</v>
      </c>
      <c r="F2403" s="465">
        <f t="shared" si="202"/>
        <v>987</v>
      </c>
      <c r="G2403" s="137">
        <f t="shared" si="198"/>
        <v>6.5933845706784774E-2</v>
      </c>
      <c r="H2403" s="48">
        <f t="shared" si="199"/>
        <v>1.974</v>
      </c>
      <c r="I2403" s="137">
        <f>I2396+I2397+I2398</f>
        <v>1</v>
      </c>
      <c r="K2403" s="521"/>
      <c r="L2403" s="521"/>
      <c r="M2403" s="521"/>
      <c r="N2403" s="521"/>
      <c r="O2403" s="521"/>
      <c r="P2403" s="521"/>
    </row>
    <row r="2404" spans="1:16" s="17" customFormat="1" ht="16.5" customHeight="1" x14ac:dyDescent="0.25">
      <c r="A2404" s="170"/>
      <c r="B2404" s="583"/>
      <c r="C2404" s="583"/>
      <c r="D2404" s="272"/>
      <c r="E2404" s="160"/>
      <c r="F2404" s="161"/>
      <c r="G2404" s="258"/>
      <c r="H2404" s="258"/>
      <c r="I2404" s="410"/>
      <c r="K2404" s="521"/>
      <c r="L2404" s="521"/>
      <c r="M2404" s="521"/>
      <c r="N2404" s="521"/>
      <c r="O2404" s="521"/>
      <c r="P2404" s="521"/>
    </row>
    <row r="2405" spans="1:16" s="17" customFormat="1" ht="16.5" customHeight="1" x14ac:dyDescent="0.25">
      <c r="A2405" s="527"/>
      <c r="B2405" s="742" t="s">
        <v>970</v>
      </c>
      <c r="C2405" s="742"/>
      <c r="D2405" s="742"/>
      <c r="E2405" s="742"/>
      <c r="F2405" s="742"/>
      <c r="G2405" s="742"/>
      <c r="H2405" s="742"/>
      <c r="I2405" s="742"/>
      <c r="K2405" s="521"/>
      <c r="L2405" s="521"/>
      <c r="M2405" s="521"/>
      <c r="N2405" s="521"/>
      <c r="O2405" s="521"/>
      <c r="P2405" s="521"/>
    </row>
    <row r="2406" spans="1:16" s="17" customFormat="1" ht="16.5" customHeight="1" x14ac:dyDescent="0.25">
      <c r="A2406" s="527"/>
      <c r="B2406" s="527"/>
      <c r="C2406" s="527"/>
      <c r="D2406" s="527"/>
      <c r="E2406" s="527"/>
      <c r="F2406" s="527"/>
      <c r="G2406" s="527"/>
      <c r="H2406" s="527"/>
      <c r="I2406" s="527"/>
      <c r="K2406" s="521"/>
      <c r="L2406" s="521"/>
      <c r="M2406" s="521"/>
      <c r="N2406" s="521"/>
      <c r="O2406" s="521"/>
      <c r="P2406" s="521"/>
    </row>
    <row r="2407" spans="1:16" s="17" customFormat="1" ht="16.5" customHeight="1" x14ac:dyDescent="0.25">
      <c r="A2407" s="743" t="s">
        <v>507</v>
      </c>
      <c r="B2407" s="743"/>
      <c r="C2407" s="743"/>
      <c r="D2407" s="743"/>
      <c r="E2407" s="743"/>
      <c r="F2407" s="743"/>
      <c r="G2407" s="743"/>
      <c r="H2407" s="743"/>
      <c r="I2407" s="743"/>
      <c r="K2407" s="521"/>
      <c r="L2407" s="521"/>
      <c r="M2407" s="521"/>
      <c r="N2407" s="521"/>
      <c r="O2407" s="521"/>
      <c r="P2407" s="521"/>
    </row>
    <row r="2408" spans="1:16" s="17" customFormat="1" ht="16.5" customHeight="1" x14ac:dyDescent="0.25">
      <c r="A2408" s="523"/>
      <c r="B2408" s="523"/>
      <c r="C2408" s="523"/>
      <c r="D2408" s="523"/>
      <c r="E2408" s="701" t="s">
        <v>85</v>
      </c>
      <c r="F2408" s="523"/>
      <c r="G2408" s="523"/>
      <c r="H2408" s="523"/>
      <c r="I2408" s="523"/>
      <c r="K2408" s="521"/>
      <c r="L2408" s="521"/>
      <c r="M2408" s="521"/>
      <c r="N2408" s="521"/>
      <c r="O2408" s="521"/>
      <c r="P2408" s="521"/>
    </row>
    <row r="2409" spans="1:16" s="17" customFormat="1" ht="16.5" customHeight="1" x14ac:dyDescent="0.25">
      <c r="A2409" s="192"/>
      <c r="B2409" s="214"/>
      <c r="C2409" s="15"/>
      <c r="D2409" s="537"/>
      <c r="E2409" s="701"/>
      <c r="F2409" s="537"/>
      <c r="G2409" s="192"/>
      <c r="H2409" s="537"/>
      <c r="I2409" s="537"/>
      <c r="K2409" s="521"/>
      <c r="L2409" s="521"/>
      <c r="M2409" s="521"/>
      <c r="N2409" s="521"/>
      <c r="O2409" s="521"/>
      <c r="P2409" s="521"/>
    </row>
    <row r="2410" spans="1:16" s="17" customFormat="1" ht="16.5" customHeight="1" x14ac:dyDescent="0.25">
      <c r="A2410" s="557" t="s">
        <v>48</v>
      </c>
      <c r="B2410" s="702" t="s">
        <v>49</v>
      </c>
      <c r="C2410" s="703"/>
      <c r="D2410" s="380" t="s">
        <v>86</v>
      </c>
      <c r="E2410" s="530" t="s">
        <v>152</v>
      </c>
      <c r="F2410" s="40" t="s">
        <v>87</v>
      </c>
      <c r="G2410" s="706" t="s">
        <v>52</v>
      </c>
      <c r="H2410" s="707"/>
      <c r="I2410" s="708" t="s">
        <v>53</v>
      </c>
      <c r="K2410" s="521"/>
      <c r="L2410" s="521"/>
      <c r="M2410" s="521"/>
      <c r="N2410" s="521"/>
      <c r="O2410" s="521"/>
      <c r="P2410" s="521"/>
    </row>
    <row r="2411" spans="1:16" s="17" customFormat="1" ht="16.5" customHeight="1" x14ac:dyDescent="0.25">
      <c r="A2411" s="574" t="s">
        <v>88</v>
      </c>
      <c r="B2411" s="704"/>
      <c r="C2411" s="705"/>
      <c r="D2411" s="381" t="s">
        <v>541</v>
      </c>
      <c r="E2411" s="41" t="s">
        <v>573</v>
      </c>
      <c r="F2411" s="41" t="s">
        <v>607</v>
      </c>
      <c r="G2411" s="24" t="s">
        <v>55</v>
      </c>
      <c r="H2411" s="24" t="s">
        <v>56</v>
      </c>
      <c r="I2411" s="709"/>
      <c r="K2411" s="521"/>
      <c r="L2411" s="521"/>
      <c r="M2411" s="521"/>
      <c r="N2411" s="521"/>
      <c r="O2411" s="521"/>
      <c r="P2411" s="521"/>
    </row>
    <row r="2412" spans="1:16" s="17" customFormat="1" ht="16.5" customHeight="1" x14ac:dyDescent="0.25">
      <c r="A2412" s="142">
        <v>1</v>
      </c>
      <c r="B2412" s="710">
        <v>2</v>
      </c>
      <c r="C2412" s="711"/>
      <c r="D2412" s="513">
        <v>3</v>
      </c>
      <c r="E2412" s="129">
        <v>4</v>
      </c>
      <c r="F2412" s="129">
        <v>5</v>
      </c>
      <c r="G2412" s="129">
        <v>6</v>
      </c>
      <c r="H2412" s="129">
        <v>7</v>
      </c>
      <c r="I2412" s="142">
        <v>8</v>
      </c>
      <c r="K2412" s="521"/>
      <c r="L2412" s="521"/>
      <c r="M2412" s="521"/>
      <c r="N2412" s="521"/>
      <c r="O2412" s="521"/>
      <c r="P2412" s="521"/>
    </row>
    <row r="2413" spans="1:16" s="17" customFormat="1" ht="16.5" customHeight="1" x14ac:dyDescent="0.25">
      <c r="A2413" s="81">
        <v>111</v>
      </c>
      <c r="B2413" s="716" t="s">
        <v>184</v>
      </c>
      <c r="C2413" s="717"/>
      <c r="D2413" s="5">
        <f>D683</f>
        <v>180984.92</v>
      </c>
      <c r="E2413" s="5">
        <f>E683</f>
        <v>267250.94</v>
      </c>
      <c r="F2413" s="5">
        <f>F683</f>
        <v>177193.42</v>
      </c>
      <c r="G2413" s="86">
        <f t="shared" ref="G2413:G2418" si="203">F2413/D2413</f>
        <v>0.97905074080205134</v>
      </c>
      <c r="H2413" s="87">
        <f t="shared" ref="H2413:H2418" si="204">F2413/E2413</f>
        <v>0.66302262585119442</v>
      </c>
      <c r="I2413" s="87">
        <f>F2413/F2418</f>
        <v>0.12600508878927719</v>
      </c>
      <c r="K2413" s="521"/>
      <c r="L2413" s="521"/>
      <c r="M2413" s="521"/>
      <c r="N2413" s="521"/>
      <c r="O2413" s="521"/>
      <c r="P2413" s="521"/>
    </row>
    <row r="2414" spans="1:16" s="17" customFormat="1" ht="16.5" customHeight="1" x14ac:dyDescent="0.25">
      <c r="A2414" s="81">
        <v>130</v>
      </c>
      <c r="B2414" s="716" t="s">
        <v>185</v>
      </c>
      <c r="C2414" s="717"/>
      <c r="D2414" s="428">
        <f>D898</f>
        <v>146628.01999999999</v>
      </c>
      <c r="E2414" s="266">
        <f>E898</f>
        <v>85722.12</v>
      </c>
      <c r="F2414" s="428">
        <f>F898</f>
        <v>44877.13</v>
      </c>
      <c r="G2414" s="86">
        <f t="shared" si="203"/>
        <v>0.30606107891247525</v>
      </c>
      <c r="H2414" s="87">
        <f t="shared" si="204"/>
        <v>0.52351866706049732</v>
      </c>
      <c r="I2414" s="87">
        <f>F2414/F2418</f>
        <v>3.1912848401808226E-2</v>
      </c>
      <c r="K2414" s="521"/>
      <c r="L2414" s="521"/>
      <c r="M2414" s="521"/>
      <c r="N2414" s="521"/>
      <c r="O2414" s="521"/>
      <c r="P2414" s="521"/>
    </row>
    <row r="2415" spans="1:16" s="17" customFormat="1" ht="16.5" customHeight="1" x14ac:dyDescent="0.25">
      <c r="A2415" s="81">
        <v>132</v>
      </c>
      <c r="B2415" s="716" t="s">
        <v>186</v>
      </c>
      <c r="C2415" s="717"/>
      <c r="D2415" s="5">
        <f>D1014</f>
        <v>38812.36</v>
      </c>
      <c r="E2415" s="145">
        <f>E1014</f>
        <v>76500</v>
      </c>
      <c r="F2415" s="5">
        <f>F1014</f>
        <v>50465.52</v>
      </c>
      <c r="G2415" s="86">
        <f t="shared" si="203"/>
        <v>1.300243530669096</v>
      </c>
      <c r="H2415" s="87">
        <f t="shared" si="204"/>
        <v>0.65967999999999993</v>
      </c>
      <c r="I2415" s="87">
        <f>F2415/F2418</f>
        <v>3.5886842346612206E-2</v>
      </c>
      <c r="K2415" s="521"/>
      <c r="L2415" s="521"/>
      <c r="M2415" s="521"/>
      <c r="N2415" s="521"/>
      <c r="O2415" s="521"/>
      <c r="P2415" s="521"/>
    </row>
    <row r="2416" spans="1:16" s="17" customFormat="1" ht="16.5" customHeight="1" x14ac:dyDescent="0.25">
      <c r="A2416" s="81">
        <v>200</v>
      </c>
      <c r="B2416" s="716" t="s">
        <v>187</v>
      </c>
      <c r="C2416" s="717"/>
      <c r="D2416" s="5">
        <f>D1165</f>
        <v>200600</v>
      </c>
      <c r="E2416" s="156">
        <f>E1165</f>
        <v>314673.83</v>
      </c>
      <c r="F2416" s="5">
        <f>F1165</f>
        <v>306697.24</v>
      </c>
      <c r="G2416" s="86">
        <f t="shared" si="203"/>
        <v>1.5288995014955133</v>
      </c>
      <c r="H2416" s="87">
        <f t="shared" si="204"/>
        <v>0.97465124443300533</v>
      </c>
      <c r="I2416" s="87">
        <f>F2416/F2418</f>
        <v>0.21809733655813093</v>
      </c>
      <c r="K2416" s="521"/>
      <c r="L2416" s="521"/>
      <c r="M2416" s="521"/>
      <c r="N2416" s="521"/>
      <c r="O2416" s="521"/>
      <c r="P2416" s="521"/>
    </row>
    <row r="2417" spans="1:16" s="17" customFormat="1" ht="16.5" customHeight="1" x14ac:dyDescent="0.25">
      <c r="A2417" s="81">
        <v>300</v>
      </c>
      <c r="B2417" s="716" t="s">
        <v>188</v>
      </c>
      <c r="C2417" s="717"/>
      <c r="D2417" s="5">
        <f>D1274</f>
        <v>151961</v>
      </c>
      <c r="E2417" s="5">
        <f>E1274</f>
        <v>1293764.47</v>
      </c>
      <c r="F2417" s="5">
        <f>F1274</f>
        <v>827006.88</v>
      </c>
      <c r="G2417" s="86">
        <f t="shared" si="203"/>
        <v>5.4422310987687634</v>
      </c>
      <c r="H2417" s="87">
        <f t="shared" si="204"/>
        <v>0.63922522157375372</v>
      </c>
      <c r="I2417" s="87">
        <f>F2417/F2418</f>
        <v>0.5880978839041715</v>
      </c>
      <c r="K2417" s="521"/>
      <c r="L2417" s="521"/>
      <c r="M2417" s="521"/>
      <c r="N2417" s="521"/>
      <c r="O2417" s="521"/>
      <c r="P2417" s="521"/>
    </row>
    <row r="2418" spans="1:16" s="17" customFormat="1" ht="16.5" customHeight="1" x14ac:dyDescent="0.25">
      <c r="A2418" s="146"/>
      <c r="B2418" s="509" t="s">
        <v>84</v>
      </c>
      <c r="C2418" s="510"/>
      <c r="D2418" s="465">
        <f>D2413+D2414+D2415+D2416+D2417</f>
        <v>718986.3</v>
      </c>
      <c r="E2418" s="465">
        <f>E2413+E2414+E2415+E2416+E2417</f>
        <v>2037911.3599999999</v>
      </c>
      <c r="F2418" s="383">
        <f>F2413+F2414+F2415+F2416+F2417</f>
        <v>1406240.19</v>
      </c>
      <c r="G2418" s="169">
        <f t="shared" si="203"/>
        <v>1.9558650700298459</v>
      </c>
      <c r="H2418" s="137">
        <f t="shared" si="204"/>
        <v>0.69003991910619711</v>
      </c>
      <c r="I2418" s="174">
        <f>SUM(I2413:I2417)</f>
        <v>1</v>
      </c>
      <c r="K2418" s="521"/>
      <c r="L2418" s="521"/>
      <c r="M2418" s="521"/>
      <c r="N2418" s="521"/>
      <c r="O2418" s="521"/>
      <c r="P2418" s="521"/>
    </row>
    <row r="2419" spans="1:16" s="17" customFormat="1" ht="16.5" customHeight="1" x14ac:dyDescent="0.25">
      <c r="A2419" s="275"/>
      <c r="B2419" s="275"/>
      <c r="C2419" s="275"/>
      <c r="D2419" s="275"/>
      <c r="E2419" s="275"/>
      <c r="F2419" s="275"/>
      <c r="G2419" s="537"/>
      <c r="H2419" s="541"/>
      <c r="I2419" s="279"/>
      <c r="K2419" s="521"/>
      <c r="L2419" s="521"/>
      <c r="M2419" s="521"/>
      <c r="N2419" s="521"/>
      <c r="O2419" s="521"/>
      <c r="P2419" s="521"/>
    </row>
    <row r="2420" spans="1:16" s="17" customFormat="1" ht="16.5" customHeight="1" x14ac:dyDescent="0.25">
      <c r="A2420" s="715" t="s">
        <v>971</v>
      </c>
      <c r="B2420" s="715"/>
      <c r="C2420" s="715"/>
      <c r="D2420" s="715"/>
      <c r="E2420" s="715"/>
      <c r="F2420" s="715"/>
      <c r="G2420" s="715"/>
      <c r="H2420" s="715"/>
      <c r="I2420" s="715"/>
      <c r="K2420" s="521"/>
      <c r="L2420" s="521"/>
      <c r="M2420" s="521"/>
      <c r="N2420" s="521"/>
      <c r="O2420" s="521"/>
      <c r="P2420" s="521"/>
    </row>
    <row r="2421" spans="1:16" s="17" customFormat="1" ht="16.5" customHeight="1" x14ac:dyDescent="0.25">
      <c r="A2421" s="715" t="s">
        <v>972</v>
      </c>
      <c r="B2421" s="715"/>
      <c r="C2421" s="715"/>
      <c r="D2421" s="715"/>
      <c r="E2421" s="715"/>
      <c r="F2421" s="715"/>
      <c r="G2421" s="715"/>
      <c r="H2421" s="715"/>
      <c r="I2421" s="715"/>
      <c r="K2421" s="521"/>
      <c r="L2421" s="521"/>
      <c r="M2421" s="521"/>
      <c r="N2421" s="521"/>
      <c r="O2421" s="521"/>
      <c r="P2421" s="521"/>
    </row>
    <row r="2422" spans="1:16" s="17" customFormat="1" ht="16.5" customHeight="1" x14ac:dyDescent="0.25">
      <c r="A2422" s="586" t="s">
        <v>973</v>
      </c>
      <c r="B2422" s="586"/>
      <c r="C2422" s="586"/>
      <c r="D2422" s="586"/>
      <c r="E2422" s="586"/>
      <c r="F2422" s="586"/>
      <c r="G2422" s="586"/>
      <c r="H2422" s="586"/>
      <c r="I2422" s="586"/>
      <c r="K2422" s="521"/>
      <c r="L2422" s="521"/>
      <c r="M2422" s="521"/>
      <c r="N2422" s="521"/>
      <c r="O2422" s="521"/>
      <c r="P2422" s="521"/>
    </row>
    <row r="2423" spans="1:16" s="17" customFormat="1" ht="16.5" customHeight="1" x14ac:dyDescent="0.25">
      <c r="A2423" s="714" t="s">
        <v>974</v>
      </c>
      <c r="B2423" s="714"/>
      <c r="C2423" s="714"/>
      <c r="D2423" s="714"/>
      <c r="E2423" s="714"/>
      <c r="F2423" s="714"/>
      <c r="G2423" s="714"/>
      <c r="H2423" s="714"/>
      <c r="I2423" s="714"/>
      <c r="K2423" s="521"/>
      <c r="L2423" s="521"/>
      <c r="M2423" s="521"/>
      <c r="N2423" s="521"/>
      <c r="O2423" s="521"/>
      <c r="P2423" s="521"/>
    </row>
    <row r="2424" spans="1:16" s="17" customFormat="1" ht="16.5" customHeight="1" x14ac:dyDescent="0.25">
      <c r="A2424" s="537" t="s">
        <v>753</v>
      </c>
      <c r="B2424" s="537"/>
      <c r="C2424" s="537"/>
      <c r="D2424" s="537"/>
      <c r="E2424" s="537"/>
      <c r="F2424" s="537"/>
      <c r="G2424" s="537"/>
      <c r="H2424" s="537"/>
      <c r="I2424" s="537"/>
      <c r="K2424" s="521"/>
      <c r="L2424" s="521"/>
      <c r="M2424" s="521"/>
      <c r="N2424" s="521"/>
      <c r="O2424" s="521"/>
      <c r="P2424" s="521"/>
    </row>
    <row r="2425" spans="1:16" s="17" customFormat="1" ht="16.5" customHeight="1" x14ac:dyDescent="0.25">
      <c r="A2425" s="714" t="s">
        <v>975</v>
      </c>
      <c r="B2425" s="714"/>
      <c r="C2425" s="714"/>
      <c r="D2425" s="714"/>
      <c r="E2425" s="714"/>
      <c r="F2425" s="714"/>
      <c r="G2425" s="714"/>
      <c r="H2425" s="714"/>
      <c r="I2425" s="714"/>
      <c r="K2425" s="521"/>
      <c r="L2425" s="521"/>
      <c r="M2425" s="521"/>
      <c r="N2425" s="521"/>
      <c r="O2425" s="521"/>
      <c r="P2425" s="521"/>
    </row>
    <row r="2426" spans="1:16" s="17" customFormat="1" ht="16.5" customHeight="1" x14ac:dyDescent="0.25">
      <c r="A2426" s="714" t="s">
        <v>976</v>
      </c>
      <c r="B2426" s="714"/>
      <c r="C2426" s="714"/>
      <c r="D2426" s="714"/>
      <c r="E2426" s="714"/>
      <c r="F2426" s="714"/>
      <c r="G2426" s="714"/>
      <c r="H2426" s="714"/>
      <c r="I2426" s="714"/>
      <c r="K2426" s="521"/>
      <c r="L2426" s="521"/>
      <c r="M2426" s="521"/>
      <c r="N2426" s="521"/>
      <c r="O2426" s="521"/>
      <c r="P2426" s="521"/>
    </row>
    <row r="2427" spans="1:16" s="17" customFormat="1" ht="16.5" customHeight="1" x14ac:dyDescent="0.25">
      <c r="A2427" s="735" t="s">
        <v>977</v>
      </c>
      <c r="B2427" s="735"/>
      <c r="C2427" s="735"/>
      <c r="D2427" s="735"/>
      <c r="E2427" s="735"/>
      <c r="F2427" s="735"/>
      <c r="G2427" s="735"/>
      <c r="H2427" s="735"/>
      <c r="I2427" s="735"/>
      <c r="K2427" s="521"/>
      <c r="L2427" s="521"/>
      <c r="M2427" s="521"/>
      <c r="N2427" s="521"/>
      <c r="O2427" s="521"/>
      <c r="P2427" s="521"/>
    </row>
    <row r="2428" spans="1:16" s="17" customFormat="1" ht="16.5" customHeight="1" x14ac:dyDescent="0.25">
      <c r="A2428" s="714" t="s">
        <v>978</v>
      </c>
      <c r="B2428" s="714"/>
      <c r="C2428" s="714"/>
      <c r="D2428" s="714"/>
      <c r="E2428" s="714"/>
      <c r="F2428" s="714"/>
      <c r="G2428" s="714"/>
      <c r="H2428" s="714"/>
      <c r="I2428" s="714"/>
      <c r="K2428" s="521"/>
      <c r="L2428" s="521"/>
      <c r="M2428" s="521"/>
      <c r="N2428" s="521"/>
      <c r="O2428" s="521"/>
      <c r="P2428" s="521"/>
    </row>
    <row r="2429" spans="1:16" s="17" customFormat="1" ht="16.5" customHeight="1" x14ac:dyDescent="0.25">
      <c r="A2429" s="721" t="s">
        <v>979</v>
      </c>
      <c r="B2429" s="721"/>
      <c r="C2429" s="721"/>
      <c r="D2429" s="721"/>
      <c r="E2429" s="721"/>
      <c r="F2429" s="721"/>
      <c r="G2429" s="721"/>
      <c r="H2429" s="721"/>
      <c r="I2429" s="721"/>
      <c r="K2429" s="521"/>
      <c r="L2429" s="521"/>
      <c r="M2429" s="521"/>
      <c r="N2429" s="521"/>
      <c r="O2429" s="521"/>
      <c r="P2429" s="521"/>
    </row>
    <row r="2430" spans="1:16" s="17" customFormat="1" ht="16.5" customHeight="1" x14ac:dyDescent="0.25">
      <c r="A2430" s="721" t="s">
        <v>980</v>
      </c>
      <c r="B2430" s="721"/>
      <c r="C2430" s="721"/>
      <c r="D2430" s="721"/>
      <c r="E2430" s="721"/>
      <c r="F2430" s="721"/>
      <c r="G2430" s="721"/>
      <c r="H2430" s="721"/>
      <c r="I2430" s="721"/>
      <c r="K2430" s="521"/>
      <c r="L2430" s="521"/>
      <c r="M2430" s="521"/>
      <c r="N2430" s="521"/>
      <c r="O2430" s="521"/>
      <c r="P2430" s="521"/>
    </row>
    <row r="2431" spans="1:16" s="17" customFormat="1" ht="16.5" customHeight="1" x14ac:dyDescent="0.25">
      <c r="A2431" s="537"/>
      <c r="B2431" s="537" t="s">
        <v>981</v>
      </c>
      <c r="C2431" s="537"/>
      <c r="D2431" s="537"/>
      <c r="E2431" s="537"/>
      <c r="F2431" s="537"/>
      <c r="G2431" s="537"/>
      <c r="H2431" s="537"/>
      <c r="I2431" s="537"/>
      <c r="K2431" s="521"/>
      <c r="L2431" s="521"/>
      <c r="M2431" s="521"/>
      <c r="N2431" s="521"/>
      <c r="O2431" s="521"/>
      <c r="P2431" s="521"/>
    </row>
    <row r="2432" spans="1:16" s="17" customFormat="1" ht="16.5" customHeight="1" x14ac:dyDescent="0.25">
      <c r="A2432" s="524" t="s">
        <v>982</v>
      </c>
      <c r="B2432" s="524"/>
      <c r="C2432" s="524"/>
      <c r="D2432" s="524"/>
      <c r="E2432" s="524"/>
      <c r="F2432" s="524"/>
      <c r="G2432" s="524"/>
      <c r="H2432" s="524"/>
      <c r="I2432" s="524"/>
      <c r="K2432" s="521"/>
      <c r="L2432" s="521"/>
      <c r="M2432" s="521"/>
      <c r="N2432" s="521"/>
      <c r="O2432" s="521"/>
      <c r="P2432" s="521"/>
    </row>
    <row r="2433" spans="1:16" s="17" customFormat="1" ht="16.5" customHeight="1" x14ac:dyDescent="0.25">
      <c r="A2433" s="524"/>
      <c r="B2433" s="524"/>
      <c r="C2433" s="524"/>
      <c r="D2433" s="524"/>
      <c r="E2433" s="524"/>
      <c r="F2433" s="524"/>
      <c r="G2433" s="524"/>
      <c r="H2433" s="524"/>
      <c r="I2433" s="279"/>
      <c r="K2433" s="521"/>
      <c r="L2433" s="521"/>
      <c r="M2433" s="521"/>
      <c r="N2433" s="521"/>
      <c r="O2433" s="521"/>
      <c r="P2433" s="521"/>
    </row>
    <row r="2434" spans="1:16" s="17" customFormat="1" ht="16.5" customHeight="1" x14ac:dyDescent="0.25">
      <c r="A2434" s="687"/>
      <c r="B2434" s="687"/>
      <c r="C2434" s="687"/>
      <c r="D2434" s="687"/>
      <c r="E2434" s="687"/>
      <c r="F2434" s="687"/>
      <c r="G2434" s="687"/>
      <c r="H2434" s="687"/>
      <c r="I2434" s="279"/>
      <c r="K2434" s="696"/>
      <c r="L2434" s="696"/>
      <c r="M2434" s="696"/>
      <c r="N2434" s="696"/>
      <c r="O2434" s="696"/>
      <c r="P2434" s="696"/>
    </row>
    <row r="2435" spans="1:16" s="17" customFormat="1" ht="16.5" customHeight="1" x14ac:dyDescent="0.25">
      <c r="A2435" s="687"/>
      <c r="B2435" s="687"/>
      <c r="C2435" s="687"/>
      <c r="D2435" s="687"/>
      <c r="E2435" s="687"/>
      <c r="F2435" s="687"/>
      <c r="G2435" s="687"/>
      <c r="H2435" s="687"/>
      <c r="I2435" s="279"/>
      <c r="K2435" s="696"/>
      <c r="L2435" s="696"/>
      <c r="M2435" s="696"/>
      <c r="N2435" s="696"/>
      <c r="O2435" s="696"/>
      <c r="P2435" s="696"/>
    </row>
    <row r="2436" spans="1:16" s="17" customFormat="1" ht="16.5" customHeight="1" x14ac:dyDescent="0.25">
      <c r="A2436" s="687"/>
      <c r="B2436" s="687"/>
      <c r="C2436" s="687"/>
      <c r="D2436" s="687"/>
      <c r="E2436" s="687"/>
      <c r="F2436" s="687"/>
      <c r="G2436" s="687"/>
      <c r="H2436" s="687"/>
      <c r="I2436" s="279"/>
      <c r="K2436" s="696"/>
      <c r="L2436" s="696"/>
      <c r="M2436" s="696"/>
      <c r="N2436" s="696"/>
      <c r="O2436" s="696"/>
      <c r="P2436" s="696"/>
    </row>
    <row r="2437" spans="1:16" s="17" customFormat="1" ht="16.5" customHeight="1" x14ac:dyDescent="0.25">
      <c r="A2437" s="687"/>
      <c r="B2437" s="687"/>
      <c r="C2437" s="687"/>
      <c r="D2437" s="687"/>
      <c r="E2437" s="687"/>
      <c r="F2437" s="687"/>
      <c r="G2437" s="687"/>
      <c r="H2437" s="687"/>
      <c r="I2437" s="279"/>
      <c r="K2437" s="696"/>
      <c r="L2437" s="696"/>
      <c r="M2437" s="696"/>
      <c r="N2437" s="696"/>
      <c r="O2437" s="696"/>
      <c r="P2437" s="696"/>
    </row>
    <row r="2438" spans="1:16" s="17" customFormat="1" ht="16.5" customHeight="1" x14ac:dyDescent="0.25">
      <c r="A2438" s="687"/>
      <c r="B2438" s="687"/>
      <c r="C2438" s="687"/>
      <c r="D2438" s="687"/>
      <c r="E2438" s="687"/>
      <c r="F2438" s="687"/>
      <c r="G2438" s="687"/>
      <c r="H2438" s="687"/>
      <c r="I2438" s="279"/>
      <c r="K2438" s="696"/>
      <c r="L2438" s="696"/>
      <c r="M2438" s="696"/>
      <c r="N2438" s="696"/>
      <c r="O2438" s="696"/>
      <c r="P2438" s="696"/>
    </row>
    <row r="2439" spans="1:16" s="17" customFormat="1" ht="16.5" customHeight="1" x14ac:dyDescent="0.25">
      <c r="A2439" s="687"/>
      <c r="B2439" s="687"/>
      <c r="C2439" s="687"/>
      <c r="D2439" s="687"/>
      <c r="E2439" s="687"/>
      <c r="F2439" s="687"/>
      <c r="G2439" s="687"/>
      <c r="H2439" s="687"/>
      <c r="I2439" s="273">
        <v>40</v>
      </c>
      <c r="K2439" s="696"/>
      <c r="L2439" s="696"/>
      <c r="M2439" s="696"/>
      <c r="N2439" s="696"/>
      <c r="O2439" s="696"/>
      <c r="P2439" s="696"/>
    </row>
    <row r="2440" spans="1:16" s="17" customFormat="1" ht="16.5" customHeight="1" x14ac:dyDescent="0.25">
      <c r="A2440" s="687"/>
      <c r="B2440" s="687"/>
      <c r="C2440" s="687"/>
      <c r="D2440" s="687"/>
      <c r="E2440" s="687"/>
      <c r="F2440" s="687"/>
      <c r="G2440" s="687"/>
      <c r="H2440" s="687"/>
      <c r="I2440" s="279"/>
      <c r="K2440" s="696"/>
      <c r="L2440" s="696"/>
      <c r="M2440" s="696"/>
      <c r="N2440" s="696"/>
      <c r="O2440" s="696"/>
      <c r="P2440" s="696"/>
    </row>
    <row r="2441" spans="1:16" s="17" customFormat="1" ht="16.5" customHeight="1" x14ac:dyDescent="0.25">
      <c r="A2441" s="524"/>
      <c r="B2441" s="524"/>
      <c r="C2441" s="524"/>
      <c r="D2441" s="524"/>
      <c r="E2441" s="524"/>
      <c r="F2441" s="524"/>
      <c r="G2441" s="524"/>
      <c r="H2441" s="524"/>
      <c r="I2441" s="279"/>
      <c r="K2441" s="521"/>
      <c r="L2441" s="521"/>
      <c r="M2441" s="521"/>
      <c r="N2441" s="521"/>
      <c r="O2441" s="521"/>
      <c r="P2441" s="521"/>
    </row>
    <row r="2442" spans="1:16" s="17" customFormat="1" ht="16.5" customHeight="1" x14ac:dyDescent="0.25">
      <c r="A2442" s="556"/>
      <c r="B2442" s="7" t="s">
        <v>390</v>
      </c>
      <c r="C2442" s="556"/>
      <c r="D2442" s="556"/>
      <c r="E2442" s="556"/>
      <c r="F2442" s="556"/>
      <c r="G2442" s="556"/>
      <c r="H2442" s="556"/>
      <c r="I2442" s="524"/>
      <c r="K2442" s="521"/>
      <c r="L2442" s="521"/>
      <c r="M2442" s="521"/>
      <c r="N2442" s="521"/>
      <c r="O2442" s="521"/>
      <c r="P2442" s="521"/>
    </row>
    <row r="2443" spans="1:16" s="17" customFormat="1" ht="16.5" customHeight="1" x14ac:dyDescent="0.25">
      <c r="A2443" s="556"/>
      <c r="B2443" s="556"/>
      <c r="C2443" s="556"/>
      <c r="D2443" s="556"/>
      <c r="E2443" s="556"/>
      <c r="F2443" s="556"/>
      <c r="G2443" s="556"/>
      <c r="H2443" s="556"/>
      <c r="I2443" s="524"/>
      <c r="K2443" s="521"/>
      <c r="L2443" s="521"/>
      <c r="M2443" s="521"/>
      <c r="N2443" s="521"/>
      <c r="O2443" s="521"/>
      <c r="P2443" s="521"/>
    </row>
    <row r="2444" spans="1:16" s="17" customFormat="1" ht="16.5" customHeight="1" x14ac:dyDescent="0.25">
      <c r="A2444" s="720" t="s">
        <v>983</v>
      </c>
      <c r="B2444" s="720"/>
      <c r="C2444" s="720"/>
      <c r="D2444" s="720"/>
      <c r="E2444" s="720"/>
      <c r="F2444" s="720"/>
      <c r="G2444" s="720"/>
      <c r="H2444" s="720"/>
      <c r="I2444" s="524"/>
      <c r="K2444" s="521"/>
      <c r="L2444" s="521"/>
      <c r="M2444" s="521"/>
      <c r="N2444" s="521"/>
      <c r="O2444" s="521"/>
      <c r="P2444" s="521"/>
    </row>
    <row r="2445" spans="1:16" s="17" customFormat="1" ht="16.5" customHeight="1" x14ac:dyDescent="0.25">
      <c r="A2445" s="524"/>
      <c r="B2445" s="524"/>
      <c r="C2445" s="524"/>
      <c r="D2445" s="524"/>
      <c r="E2445" s="524"/>
      <c r="F2445" s="524"/>
      <c r="G2445" s="524"/>
      <c r="H2445" s="524"/>
      <c r="I2445" s="524"/>
      <c r="K2445" s="521"/>
      <c r="L2445" s="521"/>
      <c r="M2445" s="521"/>
      <c r="N2445" s="521"/>
      <c r="O2445" s="521"/>
      <c r="P2445" s="521"/>
    </row>
    <row r="2446" spans="1:16" s="17" customFormat="1" ht="16.5" customHeight="1" x14ac:dyDescent="0.25">
      <c r="A2446" s="524"/>
      <c r="B2446" s="524" t="s">
        <v>508</v>
      </c>
      <c r="C2446" s="524"/>
      <c r="D2446" s="524"/>
      <c r="E2446" s="524"/>
      <c r="F2446" s="524"/>
      <c r="G2446" s="524"/>
      <c r="H2446" s="524"/>
      <c r="I2446" s="524"/>
      <c r="K2446" s="521"/>
      <c r="L2446" s="521"/>
      <c r="M2446" s="521"/>
      <c r="N2446" s="521"/>
      <c r="O2446" s="521"/>
      <c r="P2446" s="521"/>
    </row>
    <row r="2447" spans="1:16" s="17" customFormat="1" ht="16.5" customHeight="1" x14ac:dyDescent="0.25">
      <c r="A2447" s="537"/>
      <c r="B2447" s="537"/>
      <c r="C2447" s="587"/>
      <c r="D2447" s="732" t="s">
        <v>85</v>
      </c>
      <c r="E2447" s="732"/>
      <c r="F2447" s="732"/>
      <c r="G2447" s="537"/>
      <c r="H2447" s="242"/>
      <c r="I2447" s="524"/>
      <c r="K2447" s="521"/>
      <c r="L2447" s="521"/>
      <c r="M2447" s="521"/>
      <c r="N2447" s="521"/>
      <c r="O2447" s="521"/>
      <c r="P2447" s="521"/>
    </row>
    <row r="2448" spans="1:16" s="17" customFormat="1" ht="16.5" customHeight="1" x14ac:dyDescent="0.25">
      <c r="A2448" s="537"/>
      <c r="B2448" s="537"/>
      <c r="C2448" s="587"/>
      <c r="D2448" s="587"/>
      <c r="E2448" s="587"/>
      <c r="F2448" s="587"/>
      <c r="G2448" s="537"/>
      <c r="H2448" s="242"/>
      <c r="I2448" s="524"/>
      <c r="K2448" s="521"/>
      <c r="L2448" s="521"/>
      <c r="M2448" s="521"/>
      <c r="N2448" s="521"/>
      <c r="O2448" s="521"/>
      <c r="P2448" s="521"/>
    </row>
    <row r="2449" spans="1:16" s="17" customFormat="1" ht="16.5" customHeight="1" x14ac:dyDescent="0.25">
      <c r="A2449" s="557" t="s">
        <v>48</v>
      </c>
      <c r="B2449" s="702" t="s">
        <v>49</v>
      </c>
      <c r="C2449" s="703"/>
      <c r="D2449" s="380" t="s">
        <v>86</v>
      </c>
      <c r="E2449" s="530" t="s">
        <v>152</v>
      </c>
      <c r="F2449" s="40" t="s">
        <v>87</v>
      </c>
      <c r="G2449" s="706" t="s">
        <v>52</v>
      </c>
      <c r="H2449" s="707"/>
      <c r="I2449" s="733" t="s">
        <v>154</v>
      </c>
      <c r="K2449" s="521"/>
      <c r="L2449" s="521"/>
      <c r="M2449" s="521"/>
      <c r="N2449" s="521"/>
      <c r="O2449" s="521"/>
      <c r="P2449" s="521"/>
    </row>
    <row r="2450" spans="1:16" s="17" customFormat="1" ht="16.5" customHeight="1" x14ac:dyDescent="0.25">
      <c r="A2450" s="574" t="s">
        <v>391</v>
      </c>
      <c r="B2450" s="704"/>
      <c r="C2450" s="705"/>
      <c r="D2450" s="381" t="s">
        <v>541</v>
      </c>
      <c r="E2450" s="41" t="s">
        <v>573</v>
      </c>
      <c r="F2450" s="41" t="s">
        <v>607</v>
      </c>
      <c r="G2450" s="24" t="s">
        <v>55</v>
      </c>
      <c r="H2450" s="337" t="s">
        <v>56</v>
      </c>
      <c r="I2450" s="734"/>
      <c r="K2450" s="521"/>
      <c r="L2450" s="521"/>
      <c r="M2450" s="521"/>
      <c r="N2450" s="521"/>
      <c r="O2450" s="521"/>
      <c r="P2450" s="521"/>
    </row>
    <row r="2451" spans="1:16" s="17" customFormat="1" ht="16.5" customHeight="1" x14ac:dyDescent="0.25">
      <c r="A2451" s="131">
        <v>1</v>
      </c>
      <c r="B2451" s="710">
        <v>2</v>
      </c>
      <c r="C2451" s="711"/>
      <c r="D2451" s="129">
        <v>3</v>
      </c>
      <c r="E2451" s="130">
        <v>4</v>
      </c>
      <c r="F2451" s="129">
        <v>5</v>
      </c>
      <c r="G2451" s="129">
        <v>6</v>
      </c>
      <c r="H2451" s="129">
        <v>7</v>
      </c>
      <c r="I2451" s="338">
        <v>8</v>
      </c>
      <c r="K2451" s="521"/>
      <c r="L2451" s="521"/>
      <c r="M2451" s="521"/>
      <c r="N2451" s="521"/>
      <c r="O2451" s="521"/>
      <c r="P2451" s="521"/>
    </row>
    <row r="2452" spans="1:16" s="17" customFormat="1" ht="16.5" customHeight="1" x14ac:dyDescent="0.25">
      <c r="A2452" s="81">
        <v>111</v>
      </c>
      <c r="B2452" s="731" t="s">
        <v>184</v>
      </c>
      <c r="C2452" s="731"/>
      <c r="D2452" s="5">
        <f>D684</f>
        <v>109887.28</v>
      </c>
      <c r="E2452" s="5">
        <f>E684</f>
        <v>173112.99</v>
      </c>
      <c r="F2452" s="5">
        <f>F684</f>
        <v>113287.8</v>
      </c>
      <c r="G2452" s="86">
        <f t="shared" ref="G2452:G2457" si="205">F2452/D2452</f>
        <v>1.0309455289092606</v>
      </c>
      <c r="H2452" s="144">
        <f t="shared" ref="H2452:H2457" si="206">F2452/E2452</f>
        <v>0.65441536189745209</v>
      </c>
      <c r="I2452" s="325">
        <f>F2452/F2457</f>
        <v>0.69321197737401263</v>
      </c>
      <c r="J2452" s="523"/>
      <c r="K2452" s="521"/>
      <c r="L2452" s="521"/>
      <c r="M2452" s="521"/>
      <c r="N2452" s="521"/>
      <c r="O2452" s="521"/>
      <c r="P2452" s="521"/>
    </row>
    <row r="2453" spans="1:16" s="17" customFormat="1" ht="16.5" customHeight="1" x14ac:dyDescent="0.25">
      <c r="A2453" s="81">
        <v>130</v>
      </c>
      <c r="B2453" s="731" t="s">
        <v>185</v>
      </c>
      <c r="C2453" s="731"/>
      <c r="D2453" s="437">
        <f>D899</f>
        <v>4061.24</v>
      </c>
      <c r="E2453" s="266">
        <f>E899</f>
        <v>17000</v>
      </c>
      <c r="F2453" s="437">
        <f>F899</f>
        <v>10216.6</v>
      </c>
      <c r="G2453" s="86">
        <f t="shared" si="205"/>
        <v>2.5156356186780395</v>
      </c>
      <c r="H2453" s="144">
        <f t="shared" si="206"/>
        <v>0.60097647058823533</v>
      </c>
      <c r="I2453" s="325">
        <f>F2453/F2457</f>
        <v>6.2515729743532283E-2</v>
      </c>
      <c r="J2453" s="537"/>
      <c r="K2453" s="521"/>
      <c r="L2453" s="521"/>
      <c r="M2453" s="521"/>
      <c r="N2453" s="521"/>
      <c r="O2453" s="521"/>
      <c r="P2453" s="521"/>
    </row>
    <row r="2454" spans="1:16" s="17" customFormat="1" ht="16.5" customHeight="1" x14ac:dyDescent="0.25">
      <c r="A2454" s="81">
        <v>132</v>
      </c>
      <c r="B2454" s="731" t="s">
        <v>186</v>
      </c>
      <c r="C2454" s="731"/>
      <c r="D2454" s="5">
        <f>D1015</f>
        <v>883.76</v>
      </c>
      <c r="E2454" s="145">
        <f>E1015</f>
        <v>5500</v>
      </c>
      <c r="F2454" s="5">
        <f>F1015</f>
        <v>274.25</v>
      </c>
      <c r="G2454" s="86">
        <f t="shared" si="205"/>
        <v>0.31032180682538246</v>
      </c>
      <c r="H2454" s="144">
        <f t="shared" si="206"/>
        <v>4.9863636363636367E-2</v>
      </c>
      <c r="I2454" s="325">
        <f>F2454/F2457</f>
        <v>1.6781452618448143E-3</v>
      </c>
      <c r="K2454" s="521"/>
      <c r="L2454" s="521"/>
      <c r="M2454" s="521"/>
      <c r="N2454" s="521"/>
      <c r="O2454" s="521"/>
      <c r="P2454" s="521"/>
    </row>
    <row r="2455" spans="1:16" s="17" customFormat="1" ht="16.5" customHeight="1" x14ac:dyDescent="0.25">
      <c r="A2455" s="81">
        <v>200</v>
      </c>
      <c r="B2455" s="731" t="s">
        <v>187</v>
      </c>
      <c r="C2455" s="731"/>
      <c r="D2455" s="5">
        <f>D1166</f>
        <v>0</v>
      </c>
      <c r="E2455" s="156">
        <f>E1166</f>
        <v>40000</v>
      </c>
      <c r="F2455" s="5">
        <f>F1166</f>
        <v>39645.82</v>
      </c>
      <c r="G2455" s="86" t="e">
        <f t="shared" si="205"/>
        <v>#DIV/0!</v>
      </c>
      <c r="H2455" s="144">
        <f t="shared" si="206"/>
        <v>0.99114550000000001</v>
      </c>
      <c r="I2455" s="325">
        <f>F2455/F2457</f>
        <v>0.2425941476206103</v>
      </c>
      <c r="K2455" s="521"/>
      <c r="L2455" s="521"/>
      <c r="M2455" s="521"/>
      <c r="N2455" s="521"/>
      <c r="O2455" s="521"/>
      <c r="P2455" s="521"/>
    </row>
    <row r="2456" spans="1:16" s="17" customFormat="1" ht="16.5" customHeight="1" x14ac:dyDescent="0.25">
      <c r="A2456" s="81">
        <v>300</v>
      </c>
      <c r="B2456" s="731" t="s">
        <v>188</v>
      </c>
      <c r="C2456" s="731"/>
      <c r="D2456" s="5">
        <v>0</v>
      </c>
      <c r="E2456" s="5">
        <f>0+0</f>
        <v>0</v>
      </c>
      <c r="F2456" s="5">
        <v>0</v>
      </c>
      <c r="G2456" s="86" t="e">
        <f t="shared" si="205"/>
        <v>#DIV/0!</v>
      </c>
      <c r="H2456" s="144" t="e">
        <f t="shared" si="206"/>
        <v>#DIV/0!</v>
      </c>
      <c r="I2456" s="325">
        <f>F2456/F2457</f>
        <v>0</v>
      </c>
      <c r="K2456" s="521"/>
      <c r="L2456" s="521"/>
      <c r="M2456" s="521"/>
      <c r="N2456" s="521"/>
      <c r="O2456" s="521"/>
      <c r="P2456" s="521"/>
    </row>
    <row r="2457" spans="1:16" s="17" customFormat="1" ht="19.5" customHeight="1" x14ac:dyDescent="0.25">
      <c r="A2457" s="146"/>
      <c r="B2457" s="730" t="s">
        <v>84</v>
      </c>
      <c r="C2457" s="730"/>
      <c r="D2457" s="465">
        <f>D2452+D2453+D2454+D2455+D2456</f>
        <v>114832.28</v>
      </c>
      <c r="E2457" s="465">
        <f>E2452+E2453+E2454+E2455+E2456</f>
        <v>235612.99</v>
      </c>
      <c r="F2457" s="383">
        <f>F2452+F2453+F2454+F2455+F2456</f>
        <v>163424.47</v>
      </c>
      <c r="G2457" s="148">
        <f t="shared" si="205"/>
        <v>1.4231579308535893</v>
      </c>
      <c r="H2457" s="137">
        <f t="shared" si="206"/>
        <v>0.69361400659615591</v>
      </c>
      <c r="I2457" s="48">
        <f>I2452+I2453+I2454+I2455+I2456</f>
        <v>1</v>
      </c>
      <c r="K2457" s="521"/>
      <c r="L2457" s="521"/>
      <c r="M2457" s="521"/>
      <c r="N2457" s="521"/>
      <c r="O2457" s="521"/>
      <c r="P2457" s="521"/>
    </row>
    <row r="2458" spans="1:16" s="17" customFormat="1" ht="16.5" customHeight="1" x14ac:dyDescent="0.25">
      <c r="A2458" s="275"/>
      <c r="B2458" s="275"/>
      <c r="C2458" s="275"/>
      <c r="D2458" s="275"/>
      <c r="E2458" s="275"/>
      <c r="F2458" s="275"/>
      <c r="G2458" s="537"/>
      <c r="I2458" s="524"/>
      <c r="K2458" s="521"/>
      <c r="L2458" s="521"/>
      <c r="M2458" s="521"/>
      <c r="N2458" s="521"/>
      <c r="O2458" s="521"/>
      <c r="P2458" s="521"/>
    </row>
    <row r="2459" spans="1:16" s="17" customFormat="1" ht="16.5" customHeight="1" x14ac:dyDescent="0.25">
      <c r="A2459" s="715" t="s">
        <v>984</v>
      </c>
      <c r="B2459" s="715"/>
      <c r="C2459" s="715"/>
      <c r="D2459" s="715"/>
      <c r="E2459" s="715"/>
      <c r="F2459" s="715"/>
      <c r="G2459" s="715"/>
      <c r="H2459" s="715"/>
      <c r="I2459" s="715"/>
      <c r="K2459" s="521"/>
      <c r="L2459" s="521"/>
      <c r="M2459" s="521"/>
      <c r="N2459" s="521"/>
      <c r="O2459" s="521"/>
      <c r="P2459" s="521"/>
    </row>
    <row r="2460" spans="1:16" s="17" customFormat="1" ht="16.5" customHeight="1" x14ac:dyDescent="0.25">
      <c r="A2460" s="586"/>
      <c r="B2460" s="586" t="s">
        <v>985</v>
      </c>
      <c r="C2460" s="586"/>
      <c r="D2460" s="586"/>
      <c r="E2460" s="586"/>
      <c r="F2460" s="586"/>
      <c r="G2460" s="586"/>
      <c r="H2460" s="586"/>
      <c r="I2460" s="586"/>
      <c r="K2460" s="521"/>
      <c r="L2460" s="521"/>
      <c r="M2460" s="521"/>
      <c r="N2460" s="521"/>
      <c r="O2460" s="521"/>
      <c r="P2460" s="521"/>
    </row>
    <row r="2461" spans="1:16" s="17" customFormat="1" ht="16.5" customHeight="1" x14ac:dyDescent="0.25">
      <c r="A2461" s="586"/>
      <c r="B2461" s="523" t="s">
        <v>986</v>
      </c>
      <c r="C2461" s="523"/>
      <c r="D2461" s="523"/>
      <c r="E2461" s="523"/>
      <c r="F2461" s="523"/>
      <c r="G2461" s="523"/>
      <c r="H2461" s="523"/>
      <c r="I2461" s="523"/>
      <c r="K2461" s="521"/>
      <c r="L2461" s="521"/>
      <c r="M2461" s="521"/>
      <c r="N2461" s="521"/>
      <c r="O2461" s="521"/>
      <c r="P2461" s="521"/>
    </row>
    <row r="2462" spans="1:16" s="17" customFormat="1" ht="16.5" customHeight="1" x14ac:dyDescent="0.25">
      <c r="A2462" s="586"/>
      <c r="B2462" s="537" t="s">
        <v>987</v>
      </c>
      <c r="C2462" s="537"/>
      <c r="D2462" s="537"/>
      <c r="E2462" s="537"/>
      <c r="F2462" s="537"/>
      <c r="G2462" s="537"/>
      <c r="H2462" s="537"/>
      <c r="I2462" s="537"/>
      <c r="K2462" s="521"/>
      <c r="L2462" s="521"/>
      <c r="M2462" s="521"/>
      <c r="N2462" s="521"/>
      <c r="O2462" s="521"/>
      <c r="P2462" s="521"/>
    </row>
    <row r="2463" spans="1:16" s="17" customFormat="1" ht="16.5" customHeight="1" x14ac:dyDescent="0.25">
      <c r="A2463" s="586" t="s">
        <v>988</v>
      </c>
      <c r="B2463" s="586"/>
      <c r="C2463" s="586"/>
      <c r="D2463" s="586"/>
      <c r="E2463" s="586"/>
      <c r="F2463" s="586"/>
      <c r="G2463" s="586"/>
      <c r="H2463" s="586"/>
      <c r="I2463" s="586"/>
      <c r="K2463" s="521"/>
      <c r="L2463" s="521"/>
      <c r="M2463" s="521"/>
      <c r="N2463" s="521"/>
      <c r="O2463" s="521"/>
      <c r="P2463" s="521"/>
    </row>
    <row r="2464" spans="1:16" s="17" customFormat="1" ht="16.5" customHeight="1" x14ac:dyDescent="0.25">
      <c r="A2464" s="586"/>
      <c r="B2464" s="586" t="s">
        <v>989</v>
      </c>
      <c r="C2464" s="586"/>
      <c r="D2464" s="586"/>
      <c r="E2464" s="586"/>
      <c r="F2464" s="586"/>
      <c r="G2464" s="586"/>
      <c r="H2464" s="586"/>
      <c r="I2464" s="586"/>
      <c r="K2464" s="521"/>
      <c r="L2464" s="521"/>
      <c r="M2464" s="521"/>
      <c r="N2464" s="521"/>
      <c r="O2464" s="521"/>
      <c r="P2464" s="521"/>
    </row>
    <row r="2465" spans="1:16" s="17" customFormat="1" ht="16.5" customHeight="1" x14ac:dyDescent="0.25">
      <c r="A2465" s="688"/>
      <c r="B2465" s="688"/>
      <c r="C2465" s="688"/>
      <c r="D2465" s="688"/>
      <c r="E2465" s="688"/>
      <c r="F2465" s="688"/>
      <c r="G2465" s="688"/>
      <c r="H2465" s="688"/>
      <c r="I2465" s="688"/>
      <c r="K2465" s="696"/>
      <c r="L2465" s="696"/>
      <c r="M2465" s="696"/>
      <c r="N2465" s="696"/>
      <c r="O2465" s="696"/>
      <c r="P2465" s="696"/>
    </row>
    <row r="2466" spans="1:16" s="17" customFormat="1" ht="16.5" customHeight="1" x14ac:dyDescent="0.25">
      <c r="A2466" s="688"/>
      <c r="B2466" s="688"/>
      <c r="C2466" s="688"/>
      <c r="D2466" s="688"/>
      <c r="E2466" s="688"/>
      <c r="F2466" s="688"/>
      <c r="G2466" s="688"/>
      <c r="H2466" s="688"/>
      <c r="I2466" s="688"/>
      <c r="K2466" s="696"/>
      <c r="L2466" s="696"/>
      <c r="M2466" s="696"/>
      <c r="N2466" s="696"/>
      <c r="O2466" s="696"/>
      <c r="P2466" s="696"/>
    </row>
    <row r="2467" spans="1:16" s="17" customFormat="1" ht="16.5" customHeight="1" x14ac:dyDescent="0.25">
      <c r="A2467" s="688"/>
      <c r="B2467" s="688"/>
      <c r="C2467" s="688"/>
      <c r="D2467" s="688"/>
      <c r="E2467" s="688"/>
      <c r="F2467" s="688"/>
      <c r="G2467" s="688"/>
      <c r="H2467" s="688"/>
      <c r="I2467" s="688"/>
      <c r="K2467" s="696"/>
      <c r="L2467" s="696"/>
      <c r="M2467" s="696"/>
      <c r="N2467" s="696"/>
      <c r="O2467" s="696"/>
      <c r="P2467" s="696"/>
    </row>
    <row r="2468" spans="1:16" s="17" customFormat="1" ht="16.5" customHeight="1" x14ac:dyDescent="0.25">
      <c r="A2468" s="586"/>
      <c r="B2468" s="586"/>
      <c r="C2468" s="586"/>
      <c r="D2468" s="586"/>
      <c r="E2468" s="586"/>
      <c r="F2468" s="586"/>
      <c r="G2468" s="586"/>
      <c r="H2468" s="586"/>
      <c r="I2468" s="141"/>
      <c r="K2468" s="521"/>
      <c r="L2468" s="521"/>
      <c r="M2468" s="521"/>
      <c r="N2468" s="521"/>
      <c r="O2468" s="521"/>
      <c r="P2468" s="521"/>
    </row>
    <row r="2469" spans="1:16" s="17" customFormat="1" ht="16.5" customHeight="1" x14ac:dyDescent="0.25">
      <c r="A2469" s="540"/>
      <c r="B2469" s="722" t="s">
        <v>364</v>
      </c>
      <c r="C2469" s="722"/>
      <c r="D2469" s="722"/>
      <c r="E2469" s="540"/>
      <c r="F2469" s="540"/>
      <c r="G2469" s="541"/>
      <c r="H2469" s="260"/>
      <c r="I2469" s="245"/>
      <c r="K2469" s="521"/>
      <c r="L2469" s="521"/>
      <c r="M2469" s="521"/>
      <c r="N2469" s="521"/>
      <c r="O2469" s="521"/>
      <c r="P2469" s="521"/>
    </row>
    <row r="2470" spans="1:16" s="17" customFormat="1" ht="16.5" customHeight="1" x14ac:dyDescent="0.25">
      <c r="A2470" s="540"/>
      <c r="B2470" s="540"/>
      <c r="C2470" s="540"/>
      <c r="D2470" s="540"/>
      <c r="E2470" s="540"/>
      <c r="F2470" s="540"/>
      <c r="G2470" s="541"/>
      <c r="H2470" s="260"/>
      <c r="I2470" s="245"/>
      <c r="K2470" s="521"/>
      <c r="L2470" s="521"/>
      <c r="M2470" s="521"/>
      <c r="N2470" s="521"/>
      <c r="O2470" s="521"/>
      <c r="P2470" s="521"/>
    </row>
    <row r="2471" spans="1:16" s="17" customFormat="1" ht="16.5" customHeight="1" x14ac:dyDescent="0.25">
      <c r="A2471" s="527"/>
      <c r="B2471" s="715" t="s">
        <v>990</v>
      </c>
      <c r="C2471" s="715"/>
      <c r="D2471" s="715"/>
      <c r="E2471" s="715"/>
      <c r="F2471" s="715"/>
      <c r="G2471" s="715"/>
      <c r="H2471" s="715"/>
      <c r="I2471" s="715"/>
      <c r="K2471" s="521"/>
      <c r="L2471" s="521"/>
      <c r="M2471" s="521"/>
      <c r="N2471" s="521"/>
      <c r="O2471" s="521"/>
      <c r="P2471" s="521"/>
    </row>
    <row r="2472" spans="1:16" s="17" customFormat="1" ht="16.5" customHeight="1" x14ac:dyDescent="0.25">
      <c r="A2472" s="715" t="s">
        <v>991</v>
      </c>
      <c r="B2472" s="715"/>
      <c r="C2472" s="715"/>
      <c r="D2472" s="715"/>
      <c r="E2472" s="715"/>
      <c r="F2472" s="715"/>
      <c r="G2472" s="715"/>
      <c r="H2472" s="715"/>
      <c r="I2472" s="715"/>
      <c r="K2472" s="521"/>
      <c r="L2472" s="521"/>
      <c r="M2472" s="521"/>
      <c r="N2472" s="521"/>
      <c r="O2472" s="521"/>
      <c r="P2472" s="521"/>
    </row>
    <row r="2473" spans="1:16" s="17" customFormat="1" ht="16.5" customHeight="1" x14ac:dyDescent="0.25">
      <c r="A2473" s="523"/>
      <c r="B2473" s="523"/>
      <c r="C2473" s="523"/>
      <c r="D2473" s="523"/>
      <c r="E2473" s="701" t="s">
        <v>85</v>
      </c>
      <c r="F2473" s="523"/>
      <c r="G2473" s="523"/>
      <c r="H2473" s="523"/>
      <c r="I2473" s="523"/>
      <c r="K2473" s="521"/>
      <c r="L2473" s="521"/>
      <c r="M2473" s="521"/>
      <c r="N2473" s="521"/>
      <c r="O2473" s="521"/>
      <c r="P2473" s="521"/>
    </row>
    <row r="2474" spans="1:16" s="17" customFormat="1" ht="18.75" customHeight="1" x14ac:dyDescent="0.25">
      <c r="A2474" s="192"/>
      <c r="B2474" s="214"/>
      <c r="C2474" s="15"/>
      <c r="D2474" s="537"/>
      <c r="E2474" s="701"/>
      <c r="F2474" s="537"/>
      <c r="G2474" s="192"/>
      <c r="H2474" s="537"/>
      <c r="I2474" s="537"/>
      <c r="K2474" s="521"/>
      <c r="L2474" s="521"/>
      <c r="M2474" s="521"/>
      <c r="N2474" s="521"/>
      <c r="O2474" s="521"/>
      <c r="P2474" s="521"/>
    </row>
    <row r="2475" spans="1:16" s="17" customFormat="1" ht="16.5" customHeight="1" x14ac:dyDescent="0.25">
      <c r="A2475" s="557" t="s">
        <v>48</v>
      </c>
      <c r="B2475" s="702" t="s">
        <v>49</v>
      </c>
      <c r="C2475" s="703"/>
      <c r="D2475" s="380" t="s">
        <v>86</v>
      </c>
      <c r="E2475" s="530" t="s">
        <v>152</v>
      </c>
      <c r="F2475" s="40" t="s">
        <v>87</v>
      </c>
      <c r="G2475" s="706" t="s">
        <v>52</v>
      </c>
      <c r="H2475" s="707"/>
      <c r="I2475" s="708" t="s">
        <v>53</v>
      </c>
      <c r="K2475" s="521"/>
      <c r="L2475" s="521"/>
      <c r="M2475" s="521"/>
      <c r="N2475" s="521"/>
      <c r="O2475" s="521"/>
      <c r="P2475" s="521"/>
    </row>
    <row r="2476" spans="1:16" s="17" customFormat="1" ht="16.5" customHeight="1" x14ac:dyDescent="0.25">
      <c r="A2476" s="574" t="s">
        <v>88</v>
      </c>
      <c r="B2476" s="704"/>
      <c r="C2476" s="705"/>
      <c r="D2476" s="381" t="s">
        <v>541</v>
      </c>
      <c r="E2476" s="41" t="s">
        <v>573</v>
      </c>
      <c r="F2476" s="41" t="s">
        <v>607</v>
      </c>
      <c r="G2476" s="24" t="s">
        <v>55</v>
      </c>
      <c r="H2476" s="24" t="s">
        <v>56</v>
      </c>
      <c r="I2476" s="709"/>
      <c r="K2476" s="521"/>
      <c r="L2476" s="521"/>
      <c r="M2476" s="521"/>
      <c r="N2476" s="521"/>
      <c r="O2476" s="521"/>
      <c r="P2476" s="521"/>
    </row>
    <row r="2477" spans="1:16" s="17" customFormat="1" ht="16.5" customHeight="1" x14ac:dyDescent="0.25">
      <c r="A2477" s="165">
        <v>1</v>
      </c>
      <c r="B2477" s="728">
        <v>2</v>
      </c>
      <c r="C2477" s="729"/>
      <c r="D2477" s="582">
        <v>3</v>
      </c>
      <c r="E2477" s="166">
        <v>4</v>
      </c>
      <c r="F2477" s="166">
        <v>5</v>
      </c>
      <c r="G2477" s="166">
        <v>6</v>
      </c>
      <c r="H2477" s="166">
        <v>7</v>
      </c>
      <c r="I2477" s="165">
        <v>8</v>
      </c>
      <c r="K2477" s="521"/>
      <c r="L2477" s="521"/>
      <c r="M2477" s="521"/>
      <c r="N2477" s="521"/>
      <c r="O2477" s="521"/>
      <c r="P2477" s="521"/>
    </row>
    <row r="2478" spans="1:16" s="17" customFormat="1" ht="16.5" customHeight="1" x14ac:dyDescent="0.25">
      <c r="A2478" s="81">
        <v>111</v>
      </c>
      <c r="B2478" s="716" t="s">
        <v>184</v>
      </c>
      <c r="C2478" s="717"/>
      <c r="D2478" s="5">
        <f>D686</f>
        <v>71755.75</v>
      </c>
      <c r="E2478" s="5">
        <f>E686</f>
        <v>123675.15</v>
      </c>
      <c r="F2478" s="5">
        <f>F686</f>
        <v>80782.259999999995</v>
      </c>
      <c r="G2478" s="86">
        <f t="shared" ref="G2478:G2483" si="207">F2478/D2478</f>
        <v>1.1257949362943038</v>
      </c>
      <c r="H2478" s="87">
        <f t="shared" ref="H2478:H2483" si="208">F2478/E2478</f>
        <v>0.65318101494115832</v>
      </c>
      <c r="I2478" s="87">
        <f>F2478/F2483</f>
        <v>0.11861906775333651</v>
      </c>
      <c r="K2478" s="521"/>
      <c r="L2478" s="521"/>
      <c r="M2478" s="521"/>
      <c r="N2478" s="521"/>
      <c r="O2478" s="521"/>
      <c r="P2478" s="521"/>
    </row>
    <row r="2479" spans="1:16" s="17" customFormat="1" ht="16.5" customHeight="1" x14ac:dyDescent="0.25">
      <c r="A2479" s="81">
        <v>130</v>
      </c>
      <c r="B2479" s="716" t="s">
        <v>185</v>
      </c>
      <c r="C2479" s="717"/>
      <c r="D2479" s="5">
        <f>D901</f>
        <v>738802.66</v>
      </c>
      <c r="E2479" s="266">
        <f>E901</f>
        <v>634094.65</v>
      </c>
      <c r="F2479" s="5">
        <f>F901</f>
        <v>418141.69</v>
      </c>
      <c r="G2479" s="86">
        <f t="shared" si="207"/>
        <v>0.56597209598568576</v>
      </c>
      <c r="H2479" s="87">
        <f t="shared" si="208"/>
        <v>0.65943103289075222</v>
      </c>
      <c r="I2479" s="87">
        <f>F2479/F2483</f>
        <v>0.61399096109225759</v>
      </c>
      <c r="K2479" s="521"/>
      <c r="L2479" s="521"/>
      <c r="M2479" s="521"/>
      <c r="N2479" s="521"/>
      <c r="O2479" s="521"/>
      <c r="P2479" s="521"/>
    </row>
    <row r="2480" spans="1:16" s="17" customFormat="1" ht="16.5" customHeight="1" x14ac:dyDescent="0.25">
      <c r="A2480" s="81">
        <v>132</v>
      </c>
      <c r="B2480" s="716" t="s">
        <v>186</v>
      </c>
      <c r="C2480" s="717"/>
      <c r="D2480" s="5">
        <f>D1017</f>
        <v>128561.01</v>
      </c>
      <c r="E2480" s="145">
        <f>E1017</f>
        <v>128000</v>
      </c>
      <c r="F2480" s="5">
        <f>F1017</f>
        <v>114862.5</v>
      </c>
      <c r="G2480" s="86">
        <f t="shared" si="207"/>
        <v>0.89344739902090065</v>
      </c>
      <c r="H2480" s="87">
        <f t="shared" si="208"/>
        <v>0.89736328124999998</v>
      </c>
      <c r="I2480" s="87">
        <f>F2480/F2483</f>
        <v>0.16866181597070465</v>
      </c>
      <c r="K2480" s="521"/>
      <c r="L2480" s="521"/>
      <c r="M2480" s="521"/>
      <c r="N2480" s="521"/>
      <c r="O2480" s="521"/>
      <c r="P2480" s="521"/>
    </row>
    <row r="2481" spans="1:16" s="17" customFormat="1" ht="16.5" customHeight="1" x14ac:dyDescent="0.25">
      <c r="A2481" s="81">
        <v>200</v>
      </c>
      <c r="B2481" s="716" t="s">
        <v>187</v>
      </c>
      <c r="C2481" s="717"/>
      <c r="D2481" s="5">
        <v>0</v>
      </c>
      <c r="E2481" s="156">
        <f>0+0</f>
        <v>0</v>
      </c>
      <c r="F2481" s="5">
        <v>0</v>
      </c>
      <c r="G2481" s="86" t="e">
        <f t="shared" si="207"/>
        <v>#DIV/0!</v>
      </c>
      <c r="H2481" s="87" t="e">
        <f t="shared" si="208"/>
        <v>#DIV/0!</v>
      </c>
      <c r="I2481" s="87">
        <f>F2481/F2483</f>
        <v>0</v>
      </c>
      <c r="K2481" s="521"/>
      <c r="L2481" s="521"/>
      <c r="M2481" s="521"/>
      <c r="N2481" s="521"/>
      <c r="O2481" s="521"/>
      <c r="P2481" s="521"/>
    </row>
    <row r="2482" spans="1:16" s="17" customFormat="1" ht="16.5" customHeight="1" x14ac:dyDescent="0.25">
      <c r="A2482" s="81">
        <v>300</v>
      </c>
      <c r="B2482" s="716" t="s">
        <v>188</v>
      </c>
      <c r="C2482" s="717"/>
      <c r="D2482" s="5">
        <f>D1277</f>
        <v>234084.7</v>
      </c>
      <c r="E2482" s="5">
        <f>E1277</f>
        <v>72143.77</v>
      </c>
      <c r="F2482" s="5">
        <f>F1277</f>
        <v>67236.100000000006</v>
      </c>
      <c r="G2482" s="86">
        <f t="shared" si="207"/>
        <v>0.28722979331840143</v>
      </c>
      <c r="H2482" s="87">
        <f t="shared" si="208"/>
        <v>0.93197375185688247</v>
      </c>
      <c r="I2482" s="87">
        <f>F2482/F2483</f>
        <v>9.8728155183701358E-2</v>
      </c>
      <c r="K2482" s="521"/>
      <c r="L2482" s="521"/>
      <c r="M2482" s="521"/>
      <c r="N2482" s="521"/>
      <c r="O2482" s="521"/>
      <c r="P2482" s="521"/>
    </row>
    <row r="2483" spans="1:16" s="17" customFormat="1" ht="16.5" customHeight="1" x14ac:dyDescent="0.25">
      <c r="A2483" s="146"/>
      <c r="B2483" s="509" t="s">
        <v>84</v>
      </c>
      <c r="C2483" s="510"/>
      <c r="D2483" s="466">
        <f>D2478+D2479+D2480+D2481+D2482</f>
        <v>1173204.1200000001</v>
      </c>
      <c r="E2483" s="466">
        <f t="shared" ref="E2483:F2483" si="209">E2478+E2479+E2480+E2481+E2482</f>
        <v>957913.57000000007</v>
      </c>
      <c r="F2483" s="466">
        <f t="shared" si="209"/>
        <v>681022.54999999993</v>
      </c>
      <c r="G2483" s="169">
        <f t="shared" si="207"/>
        <v>0.58048087147869876</v>
      </c>
      <c r="H2483" s="137">
        <f t="shared" si="208"/>
        <v>0.71094362928797417</v>
      </c>
      <c r="I2483" s="174">
        <f>I2478+I2479+I2480+I2481+I2482</f>
        <v>1</v>
      </c>
      <c r="K2483" s="521"/>
      <c r="L2483" s="521"/>
      <c r="M2483" s="521"/>
      <c r="N2483" s="521"/>
      <c r="O2483" s="521"/>
      <c r="P2483" s="521"/>
    </row>
    <row r="2484" spans="1:16" s="17" customFormat="1" ht="16.5" customHeight="1" x14ac:dyDescent="0.25">
      <c r="A2484" s="170"/>
      <c r="B2484" s="584"/>
      <c r="C2484" s="291"/>
      <c r="D2484" s="291"/>
      <c r="E2484" s="160"/>
      <c r="F2484" s="161"/>
      <c r="G2484" s="162"/>
      <c r="H2484" s="258"/>
      <c r="I2484" s="245"/>
      <c r="K2484" s="521"/>
      <c r="L2484" s="521"/>
      <c r="M2484" s="521"/>
      <c r="N2484" s="521"/>
      <c r="O2484" s="521"/>
      <c r="P2484" s="521"/>
    </row>
    <row r="2485" spans="1:16" s="17" customFormat="1" ht="16.5" customHeight="1" x14ac:dyDescent="0.25">
      <c r="A2485" s="586" t="s">
        <v>992</v>
      </c>
      <c r="B2485" s="586"/>
      <c r="C2485" s="586"/>
      <c r="D2485" s="586"/>
      <c r="E2485" s="586"/>
      <c r="F2485" s="586"/>
      <c r="G2485" s="586"/>
      <c r="H2485" s="586"/>
      <c r="I2485" s="586"/>
      <c r="K2485" s="521"/>
      <c r="L2485" s="521"/>
      <c r="M2485" s="521"/>
      <c r="N2485" s="521"/>
      <c r="O2485" s="521"/>
      <c r="P2485" s="521"/>
    </row>
    <row r="2486" spans="1:16" s="17" customFormat="1" ht="16.5" customHeight="1" x14ac:dyDescent="0.25">
      <c r="A2486" s="714" t="s">
        <v>993</v>
      </c>
      <c r="B2486" s="714"/>
      <c r="C2486" s="714"/>
      <c r="D2486" s="714"/>
      <c r="E2486" s="714"/>
      <c r="F2486" s="714"/>
      <c r="G2486" s="714"/>
      <c r="H2486" s="714"/>
      <c r="I2486" s="714"/>
      <c r="K2486" s="521"/>
      <c r="L2486" s="521"/>
      <c r="M2486" s="521"/>
      <c r="N2486" s="521"/>
      <c r="O2486" s="521"/>
      <c r="P2486" s="521"/>
    </row>
    <row r="2487" spans="1:16" s="17" customFormat="1" ht="16.5" customHeight="1" x14ac:dyDescent="0.25">
      <c r="A2487" s="537" t="s">
        <v>994</v>
      </c>
      <c r="B2487" s="537"/>
      <c r="C2487" s="537"/>
      <c r="D2487" s="537"/>
      <c r="E2487" s="537"/>
      <c r="F2487" s="537"/>
      <c r="G2487" s="537"/>
      <c r="H2487" s="537"/>
      <c r="I2487" s="537"/>
      <c r="K2487" s="521"/>
      <c r="L2487" s="521"/>
      <c r="M2487" s="521"/>
      <c r="N2487" s="521"/>
      <c r="O2487" s="521"/>
      <c r="P2487" s="521"/>
    </row>
    <row r="2488" spans="1:16" s="17" customFormat="1" ht="16.5" customHeight="1" x14ac:dyDescent="0.25">
      <c r="A2488" s="714" t="s">
        <v>995</v>
      </c>
      <c r="B2488" s="714"/>
      <c r="C2488" s="714"/>
      <c r="D2488" s="714"/>
      <c r="E2488" s="714"/>
      <c r="F2488" s="714"/>
      <c r="G2488" s="714"/>
      <c r="H2488" s="714"/>
      <c r="I2488" s="714"/>
      <c r="K2488" s="521"/>
      <c r="L2488" s="521"/>
      <c r="M2488" s="521"/>
      <c r="N2488" s="521"/>
      <c r="O2488" s="521"/>
      <c r="P2488" s="521"/>
    </row>
    <row r="2489" spans="1:16" s="17" customFormat="1" ht="19.5" customHeight="1" x14ac:dyDescent="0.25">
      <c r="A2489" s="714" t="s">
        <v>996</v>
      </c>
      <c r="B2489" s="714"/>
      <c r="C2489" s="714"/>
      <c r="D2489" s="714"/>
      <c r="E2489" s="714"/>
      <c r="F2489" s="714"/>
      <c r="G2489" s="714"/>
      <c r="H2489" s="714"/>
      <c r="I2489" s="714"/>
      <c r="K2489" s="521"/>
      <c r="L2489" s="521"/>
      <c r="M2489" s="521"/>
      <c r="N2489" s="521"/>
      <c r="O2489" s="521"/>
      <c r="P2489" s="521"/>
    </row>
    <row r="2490" spans="1:16" s="17" customFormat="1" ht="15.75" customHeight="1" x14ac:dyDescent="0.25">
      <c r="A2490" s="523"/>
      <c r="B2490" s="714" t="s">
        <v>997</v>
      </c>
      <c r="C2490" s="714"/>
      <c r="D2490" s="714"/>
      <c r="E2490" s="714"/>
      <c r="F2490" s="714"/>
      <c r="G2490" s="714"/>
      <c r="H2490" s="714"/>
      <c r="I2490" s="714"/>
      <c r="K2490" s="521"/>
      <c r="L2490" s="521"/>
      <c r="M2490" s="521"/>
      <c r="N2490" s="521"/>
      <c r="O2490" s="521"/>
      <c r="P2490" s="521"/>
    </row>
    <row r="2491" spans="1:16" s="17" customFormat="1" ht="16.5" customHeight="1" x14ac:dyDescent="0.25">
      <c r="A2491" s="714" t="s">
        <v>998</v>
      </c>
      <c r="B2491" s="714"/>
      <c r="C2491" s="714"/>
      <c r="D2491" s="714"/>
      <c r="E2491" s="714"/>
      <c r="F2491" s="714"/>
      <c r="G2491" s="714"/>
      <c r="H2491" s="714"/>
      <c r="I2491" s="714"/>
      <c r="K2491" s="521"/>
      <c r="L2491" s="521"/>
      <c r="M2491" s="521"/>
      <c r="N2491" s="521"/>
      <c r="O2491" s="521"/>
      <c r="P2491" s="521"/>
    </row>
    <row r="2492" spans="1:16" s="17" customFormat="1" ht="16.5" customHeight="1" x14ac:dyDescent="0.25">
      <c r="A2492" s="714" t="s">
        <v>999</v>
      </c>
      <c r="B2492" s="714"/>
      <c r="C2492" s="714"/>
      <c r="D2492" s="714"/>
      <c r="E2492" s="714"/>
      <c r="F2492" s="714"/>
      <c r="G2492" s="714"/>
      <c r="H2492" s="714"/>
      <c r="I2492" s="714"/>
      <c r="K2492" s="521"/>
      <c r="L2492" s="521"/>
      <c r="M2492" s="521"/>
      <c r="N2492" s="521"/>
      <c r="O2492" s="521"/>
      <c r="P2492" s="521"/>
    </row>
    <row r="2493" spans="1:16" s="17" customFormat="1" ht="12" customHeight="1" x14ac:dyDescent="0.25">
      <c r="A2493" s="314"/>
      <c r="B2493" s="727" t="s">
        <v>1000</v>
      </c>
      <c r="C2493" s="727"/>
      <c r="D2493" s="727"/>
      <c r="E2493" s="727"/>
      <c r="F2493" s="727"/>
      <c r="G2493" s="727"/>
      <c r="H2493" s="727"/>
      <c r="I2493" s="727"/>
      <c r="K2493" s="521"/>
      <c r="L2493" s="521"/>
      <c r="M2493" s="521"/>
      <c r="N2493" s="521"/>
      <c r="O2493" s="521"/>
      <c r="P2493" s="521"/>
    </row>
    <row r="2494" spans="1:16" s="17" customFormat="1" ht="15.75" customHeight="1" x14ac:dyDescent="0.25">
      <c r="A2494" s="727" t="s">
        <v>462</v>
      </c>
      <c r="B2494" s="727"/>
      <c r="C2494" s="727"/>
      <c r="D2494" s="727"/>
      <c r="E2494" s="727"/>
      <c r="F2494" s="727"/>
      <c r="G2494" s="727"/>
      <c r="H2494" s="727"/>
      <c r="I2494" s="727"/>
      <c r="K2494" s="521"/>
      <c r="L2494" s="521"/>
      <c r="M2494" s="521"/>
      <c r="N2494" s="521"/>
      <c r="O2494" s="521"/>
      <c r="P2494" s="521"/>
    </row>
    <row r="2495" spans="1:16" s="17" customFormat="1" ht="16.5" customHeight="1" x14ac:dyDescent="0.25">
      <c r="A2495" s="314"/>
      <c r="B2495" s="588"/>
      <c r="C2495" s="588"/>
      <c r="D2495" s="588"/>
      <c r="E2495" s="588"/>
      <c r="F2495" s="588"/>
      <c r="G2495" s="588"/>
      <c r="H2495" s="588"/>
      <c r="I2495" s="588"/>
      <c r="K2495" s="521"/>
      <c r="L2495" s="521"/>
      <c r="M2495" s="521"/>
      <c r="N2495" s="521"/>
      <c r="O2495" s="521"/>
      <c r="P2495" s="521"/>
    </row>
    <row r="2496" spans="1:16" s="17" customFormat="1" ht="16.5" customHeight="1" x14ac:dyDescent="0.25">
      <c r="A2496" s="314"/>
      <c r="B2496" s="689"/>
      <c r="C2496" s="689"/>
      <c r="D2496" s="689"/>
      <c r="E2496" s="689"/>
      <c r="F2496" s="689"/>
      <c r="G2496" s="689"/>
      <c r="H2496" s="689"/>
      <c r="I2496" s="689"/>
      <c r="K2496" s="696"/>
      <c r="L2496" s="696"/>
      <c r="M2496" s="696"/>
      <c r="N2496" s="696"/>
      <c r="O2496" s="696"/>
      <c r="P2496" s="696"/>
    </row>
    <row r="2497" spans="1:16" s="17" customFormat="1" ht="16.5" customHeight="1" x14ac:dyDescent="0.25">
      <c r="A2497" s="314"/>
      <c r="B2497" s="689"/>
      <c r="C2497" s="689"/>
      <c r="D2497" s="689"/>
      <c r="E2497" s="689"/>
      <c r="F2497" s="689"/>
      <c r="G2497" s="689"/>
      <c r="H2497" s="689"/>
      <c r="I2497" s="689"/>
      <c r="K2497" s="696"/>
      <c r="L2497" s="696"/>
      <c r="M2497" s="696"/>
      <c r="N2497" s="696"/>
      <c r="O2497" s="696"/>
      <c r="P2497" s="696"/>
    </row>
    <row r="2498" spans="1:16" s="17" customFormat="1" ht="16.5" customHeight="1" x14ac:dyDescent="0.25">
      <c r="A2498" s="314"/>
      <c r="B2498" s="588"/>
      <c r="C2498" s="588"/>
      <c r="D2498" s="588"/>
      <c r="E2498" s="588"/>
      <c r="F2498" s="588"/>
      <c r="G2498" s="588"/>
      <c r="H2498" s="588"/>
      <c r="I2498" s="273">
        <v>41</v>
      </c>
      <c r="K2498" s="521"/>
      <c r="L2498" s="521"/>
      <c r="M2498" s="521"/>
      <c r="N2498" s="521"/>
      <c r="O2498" s="521"/>
      <c r="P2498" s="521"/>
    </row>
    <row r="2499" spans="1:16" s="17" customFormat="1" ht="16.5" customHeight="1" x14ac:dyDescent="0.25">
      <c r="A2499" s="314"/>
      <c r="B2499" s="689"/>
      <c r="C2499" s="689"/>
      <c r="D2499" s="689"/>
      <c r="E2499" s="689"/>
      <c r="F2499" s="689"/>
      <c r="G2499" s="689"/>
      <c r="H2499" s="689"/>
      <c r="I2499" s="279"/>
      <c r="K2499" s="696"/>
      <c r="L2499" s="696"/>
      <c r="M2499" s="696"/>
      <c r="N2499" s="696"/>
      <c r="O2499" s="696"/>
      <c r="P2499" s="696"/>
    </row>
    <row r="2500" spans="1:16" s="17" customFormat="1" ht="15" customHeight="1" x14ac:dyDescent="0.25">
      <c r="A2500" s="314"/>
      <c r="B2500" s="588"/>
      <c r="C2500" s="588"/>
      <c r="D2500" s="588"/>
      <c r="E2500" s="588"/>
      <c r="F2500" s="588"/>
      <c r="G2500" s="588"/>
      <c r="H2500" s="588"/>
      <c r="I2500" s="279"/>
      <c r="K2500" s="521"/>
      <c r="L2500" s="521"/>
      <c r="M2500" s="521"/>
      <c r="N2500" s="521"/>
      <c r="O2500" s="521"/>
      <c r="P2500" s="521"/>
    </row>
    <row r="2501" spans="1:16" s="17" customFormat="1" ht="16.5" customHeight="1" x14ac:dyDescent="0.25">
      <c r="A2501" s="540"/>
      <c r="B2501" s="722" t="s">
        <v>365</v>
      </c>
      <c r="C2501" s="722"/>
      <c r="D2501" s="722"/>
      <c r="E2501" s="722"/>
      <c r="F2501" s="298"/>
      <c r="G2501" s="541"/>
      <c r="H2501" s="260"/>
      <c r="I2501" s="245"/>
      <c r="K2501" s="521"/>
      <c r="L2501" s="521"/>
      <c r="M2501" s="521"/>
      <c r="N2501" s="521"/>
      <c r="O2501" s="521"/>
      <c r="P2501" s="521"/>
    </row>
    <row r="2502" spans="1:16" s="17" customFormat="1" ht="16.5" customHeight="1" x14ac:dyDescent="0.25">
      <c r="A2502" s="540"/>
      <c r="B2502" s="529"/>
      <c r="C2502" s="529"/>
      <c r="D2502" s="529"/>
      <c r="E2502" s="529"/>
      <c r="F2502" s="298"/>
      <c r="G2502" s="541"/>
      <c r="H2502" s="260"/>
      <c r="I2502" s="245"/>
      <c r="K2502" s="521"/>
      <c r="L2502" s="521"/>
      <c r="M2502" s="521"/>
      <c r="N2502" s="521"/>
      <c r="O2502" s="521"/>
      <c r="P2502" s="521"/>
    </row>
    <row r="2503" spans="1:16" s="17" customFormat="1" ht="16.5" customHeight="1" x14ac:dyDescent="0.25">
      <c r="A2503" s="723" t="s">
        <v>1001</v>
      </c>
      <c r="B2503" s="723"/>
      <c r="C2503" s="723"/>
      <c r="D2503" s="723"/>
      <c r="E2503" s="723"/>
      <c r="F2503" s="723"/>
      <c r="G2503" s="723"/>
      <c r="H2503" s="723"/>
      <c r="I2503" s="723"/>
      <c r="K2503" s="521"/>
      <c r="L2503" s="521"/>
      <c r="M2503" s="521"/>
      <c r="N2503" s="521"/>
      <c r="O2503" s="521"/>
      <c r="P2503" s="521"/>
    </row>
    <row r="2504" spans="1:16" s="17" customFormat="1" ht="15.75" customHeight="1" x14ac:dyDescent="0.25">
      <c r="A2504" s="723" t="s">
        <v>1002</v>
      </c>
      <c r="B2504" s="723"/>
      <c r="C2504" s="723"/>
      <c r="D2504" s="723"/>
      <c r="E2504" s="723"/>
      <c r="F2504" s="723"/>
      <c r="G2504" s="723"/>
      <c r="H2504" s="723"/>
      <c r="I2504" s="723"/>
      <c r="K2504" s="521"/>
      <c r="L2504" s="521"/>
      <c r="M2504" s="521"/>
      <c r="N2504" s="521"/>
      <c r="O2504" s="521"/>
      <c r="P2504" s="521"/>
    </row>
    <row r="2505" spans="1:16" s="17" customFormat="1" ht="16.5" customHeight="1" x14ac:dyDescent="0.25">
      <c r="A2505" s="523"/>
      <c r="B2505" s="523"/>
      <c r="C2505" s="523"/>
      <c r="D2505" s="523"/>
      <c r="E2505" s="701" t="s">
        <v>85</v>
      </c>
      <c r="F2505" s="523"/>
      <c r="G2505" s="523"/>
      <c r="H2505" s="523"/>
      <c r="I2505" s="523"/>
      <c r="K2505" s="521"/>
      <c r="L2505" s="521"/>
      <c r="M2505" s="521"/>
      <c r="N2505" s="521"/>
      <c r="O2505" s="521"/>
      <c r="P2505" s="521"/>
    </row>
    <row r="2506" spans="1:16" s="17" customFormat="1" ht="15.75" customHeight="1" x14ac:dyDescent="0.25">
      <c r="A2506" s="192"/>
      <c r="B2506" s="214"/>
      <c r="C2506" s="15"/>
      <c r="D2506" s="537"/>
      <c r="E2506" s="701"/>
      <c r="F2506" s="537"/>
      <c r="G2506" s="192"/>
      <c r="H2506" s="537"/>
      <c r="I2506" s="537"/>
      <c r="K2506" s="521"/>
      <c r="L2506" s="521"/>
      <c r="M2506" s="521"/>
      <c r="N2506" s="521"/>
      <c r="O2506" s="521"/>
      <c r="P2506" s="521"/>
    </row>
    <row r="2507" spans="1:16" s="17" customFormat="1" ht="15.75" customHeight="1" x14ac:dyDescent="0.25">
      <c r="A2507" s="557" t="s">
        <v>48</v>
      </c>
      <c r="B2507" s="702" t="s">
        <v>49</v>
      </c>
      <c r="C2507" s="703"/>
      <c r="D2507" s="380" t="s">
        <v>86</v>
      </c>
      <c r="E2507" s="530" t="s">
        <v>321</v>
      </c>
      <c r="F2507" s="40" t="s">
        <v>87</v>
      </c>
      <c r="G2507" s="706" t="s">
        <v>52</v>
      </c>
      <c r="H2507" s="707"/>
      <c r="I2507" s="708" t="s">
        <v>53</v>
      </c>
      <c r="K2507" s="521"/>
      <c r="L2507" s="521"/>
      <c r="M2507" s="521"/>
      <c r="N2507" s="521"/>
      <c r="O2507" s="521"/>
      <c r="P2507" s="521"/>
    </row>
    <row r="2508" spans="1:16" s="17" customFormat="1" ht="16.5" customHeight="1" x14ac:dyDescent="0.25">
      <c r="A2508" s="574" t="s">
        <v>88</v>
      </c>
      <c r="B2508" s="704"/>
      <c r="C2508" s="705"/>
      <c r="D2508" s="381" t="s">
        <v>541</v>
      </c>
      <c r="E2508" s="41" t="s">
        <v>573</v>
      </c>
      <c r="F2508" s="41" t="s">
        <v>607</v>
      </c>
      <c r="G2508" s="24" t="s">
        <v>55</v>
      </c>
      <c r="H2508" s="24" t="s">
        <v>56</v>
      </c>
      <c r="I2508" s="709"/>
      <c r="K2508" s="521"/>
      <c r="L2508" s="521"/>
      <c r="M2508" s="521"/>
      <c r="N2508" s="521"/>
      <c r="O2508" s="521"/>
      <c r="P2508" s="521"/>
    </row>
    <row r="2509" spans="1:16" s="17" customFormat="1" ht="16.5" customHeight="1" x14ac:dyDescent="0.25">
      <c r="A2509" s="142">
        <v>1</v>
      </c>
      <c r="B2509" s="710">
        <v>2</v>
      </c>
      <c r="C2509" s="711"/>
      <c r="D2509" s="513">
        <v>3</v>
      </c>
      <c r="E2509" s="129">
        <v>4</v>
      </c>
      <c r="F2509" s="129">
        <v>5</v>
      </c>
      <c r="G2509" s="129">
        <v>6</v>
      </c>
      <c r="H2509" s="129">
        <v>7</v>
      </c>
      <c r="I2509" s="142">
        <v>8</v>
      </c>
      <c r="K2509" s="521"/>
      <c r="L2509" s="521"/>
      <c r="M2509" s="521"/>
      <c r="N2509" s="521"/>
      <c r="O2509" s="521"/>
      <c r="P2509" s="521"/>
    </row>
    <row r="2510" spans="1:16" s="17" customFormat="1" ht="15" customHeight="1" x14ac:dyDescent="0.25">
      <c r="A2510" s="79">
        <v>50409</v>
      </c>
      <c r="B2510" s="712" t="s">
        <v>366</v>
      </c>
      <c r="C2510" s="713"/>
      <c r="D2510" s="5">
        <f>D351</f>
        <v>59443</v>
      </c>
      <c r="E2510" s="289">
        <f>E351</f>
        <v>50000</v>
      </c>
      <c r="F2510" s="5">
        <f>F351</f>
        <v>95890</v>
      </c>
      <c r="G2510" s="86">
        <f>F2510/D2510</f>
        <v>1.6131420015813469</v>
      </c>
      <c r="H2510" s="87">
        <f>F2510/E2510</f>
        <v>1.9177999999999999</v>
      </c>
      <c r="I2510" s="87">
        <f>F2510/F2512</f>
        <v>1</v>
      </c>
      <c r="K2510" s="521"/>
      <c r="L2510" s="521"/>
      <c r="M2510" s="521"/>
      <c r="N2510" s="521"/>
      <c r="O2510" s="521"/>
      <c r="P2510" s="521"/>
    </row>
    <row r="2511" spans="1:16" s="17" customFormat="1" ht="16.5" customHeight="1" x14ac:dyDescent="0.25">
      <c r="A2511" s="79">
        <v>56000</v>
      </c>
      <c r="B2511" s="712" t="s">
        <v>367</v>
      </c>
      <c r="C2511" s="713"/>
      <c r="D2511" s="5">
        <f>D353</f>
        <v>0</v>
      </c>
      <c r="E2511" s="289">
        <f>E353</f>
        <v>0</v>
      </c>
      <c r="F2511" s="5">
        <f>F353</f>
        <v>0</v>
      </c>
      <c r="G2511" s="86" t="e">
        <f>F2511/D2511</f>
        <v>#DIV/0!</v>
      </c>
      <c r="H2511" s="86" t="e">
        <f>F2511/E2511</f>
        <v>#DIV/0!</v>
      </c>
      <c r="I2511" s="86">
        <f>F2511/F2512</f>
        <v>0</v>
      </c>
      <c r="K2511" s="521"/>
      <c r="L2511" s="521"/>
      <c r="M2511" s="521"/>
      <c r="N2511" s="521"/>
      <c r="O2511" s="521"/>
      <c r="P2511" s="521"/>
    </row>
    <row r="2512" spans="1:16" s="17" customFormat="1" ht="16.5" customHeight="1" x14ac:dyDescent="0.25">
      <c r="A2512" s="146"/>
      <c r="B2512" s="718" t="s">
        <v>333</v>
      </c>
      <c r="C2512" s="719"/>
      <c r="D2512" s="465">
        <f>D2510+D2511</f>
        <v>59443</v>
      </c>
      <c r="E2512" s="465">
        <f t="shared" ref="E2512:F2512" si="210">E2510+E2511</f>
        <v>50000</v>
      </c>
      <c r="F2512" s="465">
        <f t="shared" si="210"/>
        <v>95890</v>
      </c>
      <c r="G2512" s="148">
        <f>F2512/D2512</f>
        <v>1.6131420015813469</v>
      </c>
      <c r="H2512" s="137">
        <f>F2512/E2512</f>
        <v>1.9177999999999999</v>
      </c>
      <c r="I2512" s="137">
        <f>SUM(I2510:I2511)</f>
        <v>1</v>
      </c>
      <c r="K2512" s="521"/>
      <c r="L2512" s="521"/>
      <c r="M2512" s="521"/>
      <c r="N2512" s="521"/>
      <c r="O2512" s="521"/>
      <c r="P2512" s="521"/>
    </row>
    <row r="2513" spans="1:16" s="17" customFormat="1" ht="16.5" customHeight="1" x14ac:dyDescent="0.25">
      <c r="A2513" s="170"/>
      <c r="B2513" s="583"/>
      <c r="C2513" s="583"/>
      <c r="D2513" s="272"/>
      <c r="E2513" s="160"/>
      <c r="F2513" s="161"/>
      <c r="G2513" s="258"/>
      <c r="H2513" s="258"/>
      <c r="I2513" s="279"/>
      <c r="K2513" s="521"/>
      <c r="L2513" s="521"/>
      <c r="M2513" s="521"/>
      <c r="N2513" s="521"/>
      <c r="O2513" s="521"/>
      <c r="P2513" s="521"/>
    </row>
    <row r="2514" spans="1:16" s="17" customFormat="1" ht="16.5" customHeight="1" x14ac:dyDescent="0.25">
      <c r="A2514" s="725" t="s">
        <v>509</v>
      </c>
      <c r="B2514" s="725"/>
      <c r="C2514" s="725"/>
      <c r="D2514" s="725"/>
      <c r="E2514" s="725"/>
      <c r="F2514" s="725"/>
      <c r="G2514" s="725"/>
      <c r="H2514" s="725"/>
      <c r="I2514" s="725"/>
      <c r="K2514" s="521"/>
      <c r="L2514" s="521"/>
      <c r="M2514" s="521"/>
      <c r="N2514" s="521"/>
      <c r="O2514" s="521"/>
      <c r="P2514" s="521"/>
    </row>
    <row r="2515" spans="1:16" s="17" customFormat="1" ht="16.5" customHeight="1" x14ac:dyDescent="0.25">
      <c r="A2515" s="523"/>
      <c r="B2515" s="523"/>
      <c r="C2515" s="523"/>
      <c r="D2515" s="523"/>
      <c r="E2515" s="701" t="s">
        <v>85</v>
      </c>
      <c r="F2515" s="523"/>
      <c r="G2515" s="523"/>
      <c r="H2515" s="523"/>
      <c r="I2515" s="523"/>
      <c r="K2515" s="521"/>
      <c r="L2515" s="521"/>
      <c r="M2515" s="521"/>
      <c r="N2515" s="521"/>
      <c r="O2515" s="521"/>
      <c r="P2515" s="521"/>
    </row>
    <row r="2516" spans="1:16" s="17" customFormat="1" ht="16.5" customHeight="1" x14ac:dyDescent="0.25">
      <c r="A2516" s="192"/>
      <c r="B2516" s="214"/>
      <c r="C2516" s="15"/>
      <c r="D2516" s="537"/>
      <c r="E2516" s="701"/>
      <c r="F2516" s="537"/>
      <c r="G2516" s="192"/>
      <c r="H2516" s="537"/>
      <c r="I2516" s="537"/>
      <c r="K2516" s="521"/>
      <c r="L2516" s="521"/>
      <c r="M2516" s="521"/>
      <c r="N2516" s="521"/>
      <c r="O2516" s="521"/>
      <c r="P2516" s="521"/>
    </row>
    <row r="2517" spans="1:16" s="17" customFormat="1" ht="16.5" customHeight="1" x14ac:dyDescent="0.25">
      <c r="A2517" s="557" t="s">
        <v>48</v>
      </c>
      <c r="B2517" s="702" t="s">
        <v>49</v>
      </c>
      <c r="C2517" s="703"/>
      <c r="D2517" s="380" t="s">
        <v>86</v>
      </c>
      <c r="E2517" s="530" t="s">
        <v>152</v>
      </c>
      <c r="F2517" s="40" t="s">
        <v>87</v>
      </c>
      <c r="G2517" s="706" t="s">
        <v>52</v>
      </c>
      <c r="H2517" s="707"/>
      <c r="I2517" s="708" t="s">
        <v>53</v>
      </c>
      <c r="K2517" s="521"/>
      <c r="L2517" s="521"/>
      <c r="M2517" s="521"/>
      <c r="N2517" s="521"/>
      <c r="O2517" s="521"/>
      <c r="P2517" s="521"/>
    </row>
    <row r="2518" spans="1:16" s="17" customFormat="1" ht="15.75" customHeight="1" x14ac:dyDescent="0.25">
      <c r="A2518" s="574" t="s">
        <v>88</v>
      </c>
      <c r="B2518" s="704"/>
      <c r="C2518" s="705"/>
      <c r="D2518" s="381" t="s">
        <v>541</v>
      </c>
      <c r="E2518" s="41" t="s">
        <v>573</v>
      </c>
      <c r="F2518" s="41" t="s">
        <v>607</v>
      </c>
      <c r="G2518" s="24" t="s">
        <v>55</v>
      </c>
      <c r="H2518" s="24" t="s">
        <v>56</v>
      </c>
      <c r="I2518" s="709"/>
      <c r="K2518" s="521"/>
      <c r="L2518" s="521"/>
      <c r="M2518" s="521"/>
      <c r="N2518" s="521"/>
      <c r="O2518" s="521"/>
      <c r="P2518" s="521"/>
    </row>
    <row r="2519" spans="1:16" s="17" customFormat="1" ht="16.5" customHeight="1" x14ac:dyDescent="0.25">
      <c r="A2519" s="142">
        <v>1</v>
      </c>
      <c r="B2519" s="710">
        <v>2</v>
      </c>
      <c r="C2519" s="711"/>
      <c r="D2519" s="513">
        <v>3</v>
      </c>
      <c r="E2519" s="129">
        <v>4</v>
      </c>
      <c r="F2519" s="129">
        <v>5</v>
      </c>
      <c r="G2519" s="129">
        <v>6</v>
      </c>
      <c r="H2519" s="129">
        <v>7</v>
      </c>
      <c r="I2519" s="142">
        <v>8</v>
      </c>
      <c r="K2519" s="521"/>
      <c r="L2519" s="521"/>
      <c r="M2519" s="521"/>
      <c r="N2519" s="521"/>
      <c r="O2519" s="521"/>
      <c r="P2519" s="521"/>
    </row>
    <row r="2520" spans="1:16" s="17" customFormat="1" ht="16.5" customHeight="1" x14ac:dyDescent="0.25">
      <c r="A2520" s="81">
        <v>111</v>
      </c>
      <c r="B2520" s="716" t="s">
        <v>184</v>
      </c>
      <c r="C2520" s="717"/>
      <c r="D2520" s="5">
        <f>D687</f>
        <v>353030.13</v>
      </c>
      <c r="E2520" s="5">
        <f>E687</f>
        <v>575422.71999999997</v>
      </c>
      <c r="F2520" s="5">
        <f>F687</f>
        <v>364904.54</v>
      </c>
      <c r="G2520" s="86">
        <f t="shared" ref="G2520:G2525" si="211">F2520/D2520</f>
        <v>1.0336356842969747</v>
      </c>
      <c r="H2520" s="87">
        <f t="shared" ref="H2520:H2525" si="212">F2520/E2520</f>
        <v>0.6341503859979668</v>
      </c>
      <c r="I2520" s="87">
        <f>F2520/F2525</f>
        <v>0.79139947507162789</v>
      </c>
      <c r="K2520" s="521"/>
      <c r="L2520" s="521"/>
      <c r="M2520" s="521"/>
      <c r="N2520" s="521"/>
      <c r="O2520" s="521"/>
      <c r="P2520" s="521"/>
    </row>
    <row r="2521" spans="1:16" s="17" customFormat="1" ht="16.5" customHeight="1" x14ac:dyDescent="0.25">
      <c r="A2521" s="81">
        <v>130</v>
      </c>
      <c r="B2521" s="716" t="s">
        <v>185</v>
      </c>
      <c r="C2521" s="717"/>
      <c r="D2521" s="102">
        <f>D902</f>
        <v>75769.25</v>
      </c>
      <c r="E2521" s="266">
        <f>E902</f>
        <v>130236.32</v>
      </c>
      <c r="F2521" s="102">
        <f>F902</f>
        <v>96183.13</v>
      </c>
      <c r="G2521" s="86">
        <f t="shared" si="211"/>
        <v>1.2694216981163204</v>
      </c>
      <c r="H2521" s="87">
        <f t="shared" si="212"/>
        <v>0.73852770102840748</v>
      </c>
      <c r="I2521" s="87">
        <f>F2521/F2525</f>
        <v>0.20860052492837211</v>
      </c>
      <c r="K2521" s="521"/>
      <c r="L2521" s="521"/>
      <c r="M2521" s="521"/>
      <c r="N2521" s="521"/>
      <c r="O2521" s="521"/>
      <c r="P2521" s="521"/>
    </row>
    <row r="2522" spans="1:16" s="17" customFormat="1" ht="16.5" customHeight="1" x14ac:dyDescent="0.25">
      <c r="A2522" s="81">
        <v>132</v>
      </c>
      <c r="B2522" s="716" t="s">
        <v>186</v>
      </c>
      <c r="C2522" s="717"/>
      <c r="D2522" s="5">
        <v>0</v>
      </c>
      <c r="E2522" s="276">
        <f>0+0</f>
        <v>0</v>
      </c>
      <c r="F2522" s="5">
        <v>0</v>
      </c>
      <c r="G2522" s="86" t="e">
        <f t="shared" si="211"/>
        <v>#DIV/0!</v>
      </c>
      <c r="H2522" s="87" t="e">
        <f t="shared" si="212"/>
        <v>#DIV/0!</v>
      </c>
      <c r="I2522" s="87">
        <f>F2522/F2525</f>
        <v>0</v>
      </c>
      <c r="K2522" s="521"/>
      <c r="L2522" s="521"/>
      <c r="M2522" s="521"/>
      <c r="N2522" s="521"/>
      <c r="O2522" s="521"/>
      <c r="P2522" s="521"/>
    </row>
    <row r="2523" spans="1:16" s="17" customFormat="1" ht="16.5" customHeight="1" x14ac:dyDescent="0.25">
      <c r="A2523" s="81">
        <v>200</v>
      </c>
      <c r="B2523" s="716" t="s">
        <v>187</v>
      </c>
      <c r="C2523" s="717"/>
      <c r="D2523" s="5">
        <v>0</v>
      </c>
      <c r="E2523" s="277">
        <f>0+0</f>
        <v>0</v>
      </c>
      <c r="F2523" s="5">
        <v>0</v>
      </c>
      <c r="G2523" s="86" t="e">
        <f t="shared" si="211"/>
        <v>#DIV/0!</v>
      </c>
      <c r="H2523" s="87" t="e">
        <f t="shared" si="212"/>
        <v>#DIV/0!</v>
      </c>
      <c r="I2523" s="87">
        <f>F2523/F2525</f>
        <v>0</v>
      </c>
      <c r="K2523" s="521"/>
      <c r="L2523" s="521"/>
      <c r="M2523" s="521"/>
      <c r="N2523" s="521"/>
      <c r="O2523" s="521"/>
      <c r="P2523" s="521"/>
    </row>
    <row r="2524" spans="1:16" s="17" customFormat="1" ht="16.5" customHeight="1" x14ac:dyDescent="0.25">
      <c r="A2524" s="81">
        <v>300</v>
      </c>
      <c r="B2524" s="716" t="s">
        <v>188</v>
      </c>
      <c r="C2524" s="717"/>
      <c r="D2524" s="5">
        <f>D1278</f>
        <v>0</v>
      </c>
      <c r="E2524" s="278">
        <f>E1278</f>
        <v>0</v>
      </c>
      <c r="F2524" s="5">
        <f>F1278</f>
        <v>0</v>
      </c>
      <c r="G2524" s="86" t="e">
        <f t="shared" si="211"/>
        <v>#DIV/0!</v>
      </c>
      <c r="H2524" s="87" t="e">
        <f t="shared" si="212"/>
        <v>#DIV/0!</v>
      </c>
      <c r="I2524" s="87">
        <f>F2524/F2525</f>
        <v>0</v>
      </c>
      <c r="K2524" s="521"/>
      <c r="L2524" s="521"/>
      <c r="M2524" s="521"/>
      <c r="N2524" s="521"/>
      <c r="O2524" s="521"/>
      <c r="P2524" s="521"/>
    </row>
    <row r="2525" spans="1:16" s="17" customFormat="1" ht="16.5" customHeight="1" x14ac:dyDescent="0.25">
      <c r="A2525" s="146"/>
      <c r="B2525" s="509" t="s">
        <v>84</v>
      </c>
      <c r="C2525" s="510"/>
      <c r="D2525" s="465">
        <f>D2520+D2521+D2522+D2523+D2524</f>
        <v>428799.38</v>
      </c>
      <c r="E2525" s="465">
        <f t="shared" ref="E2525:F2525" si="213">E2520+E2521+E2522+E2523+E2524</f>
        <v>705659.04</v>
      </c>
      <c r="F2525" s="465">
        <f t="shared" si="213"/>
        <v>461087.67</v>
      </c>
      <c r="G2525" s="169">
        <f t="shared" si="211"/>
        <v>1.0752992926435667</v>
      </c>
      <c r="H2525" s="137">
        <f t="shared" si="212"/>
        <v>0.65341424663106418</v>
      </c>
      <c r="I2525" s="174">
        <f>I2520+I2521+I2522+I2523+I2524</f>
        <v>1</v>
      </c>
      <c r="K2525" s="521"/>
      <c r="L2525" s="521"/>
      <c r="M2525" s="521"/>
      <c r="N2525" s="521"/>
      <c r="O2525" s="521"/>
      <c r="P2525" s="521"/>
    </row>
    <row r="2526" spans="1:16" s="17" customFormat="1" ht="16.5" customHeight="1" x14ac:dyDescent="0.25">
      <c r="A2526" s="402"/>
      <c r="B2526" s="403"/>
      <c r="C2526" s="403"/>
      <c r="D2526" s="404"/>
      <c r="E2526" s="404"/>
      <c r="F2526" s="404"/>
      <c r="G2526" s="405"/>
      <c r="H2526" s="406"/>
      <c r="I2526" s="407"/>
      <c r="K2526" s="521"/>
      <c r="L2526" s="521"/>
      <c r="M2526" s="521"/>
      <c r="N2526" s="521"/>
      <c r="O2526" s="521"/>
      <c r="P2526" s="521"/>
    </row>
    <row r="2527" spans="1:16" s="17" customFormat="1" ht="16.5" customHeight="1" x14ac:dyDescent="0.25">
      <c r="A2527" s="275"/>
      <c r="B2527" s="275"/>
      <c r="C2527" s="275"/>
      <c r="D2527" s="275"/>
      <c r="E2527" s="275"/>
      <c r="F2527" s="275"/>
      <c r="G2527" s="537"/>
      <c r="H2527" s="541"/>
      <c r="I2527" s="273"/>
      <c r="K2527" s="521"/>
      <c r="L2527" s="521"/>
      <c r="M2527" s="521"/>
      <c r="N2527" s="521"/>
      <c r="O2527" s="521"/>
      <c r="P2527" s="521"/>
    </row>
    <row r="2528" spans="1:16" s="17" customFormat="1" ht="16.5" customHeight="1" x14ac:dyDescent="0.25">
      <c r="A2528" s="576"/>
      <c r="B2528" s="715" t="s">
        <v>1003</v>
      </c>
      <c r="C2528" s="715"/>
      <c r="D2528" s="715"/>
      <c r="E2528" s="715"/>
      <c r="F2528" s="715"/>
      <c r="G2528" s="715"/>
      <c r="H2528" s="715"/>
      <c r="I2528" s="715"/>
      <c r="K2528" s="521"/>
      <c r="L2528" s="521"/>
      <c r="M2528" s="521"/>
      <c r="N2528" s="521"/>
      <c r="O2528" s="521"/>
      <c r="P2528" s="521"/>
    </row>
    <row r="2529" spans="1:16" s="17" customFormat="1" ht="12" customHeight="1" x14ac:dyDescent="0.25">
      <c r="A2529" s="715" t="s">
        <v>1004</v>
      </c>
      <c r="B2529" s="715"/>
      <c r="C2529" s="715"/>
      <c r="D2529" s="715"/>
      <c r="E2529" s="715"/>
      <c r="F2529" s="715"/>
      <c r="G2529" s="715"/>
      <c r="H2529" s="715"/>
      <c r="I2529" s="715"/>
      <c r="K2529" s="521"/>
      <c r="L2529" s="521"/>
      <c r="M2529" s="521"/>
      <c r="N2529" s="521"/>
      <c r="O2529" s="521"/>
      <c r="P2529" s="521"/>
    </row>
    <row r="2530" spans="1:16" s="17" customFormat="1" ht="16.5" customHeight="1" x14ac:dyDescent="0.25">
      <c r="A2530" s="726" t="s">
        <v>1005</v>
      </c>
      <c r="B2530" s="726"/>
      <c r="C2530" s="726"/>
      <c r="D2530" s="726"/>
      <c r="E2530" s="726"/>
      <c r="F2530" s="726"/>
      <c r="G2530" s="726"/>
      <c r="H2530" s="726"/>
      <c r="I2530" s="726"/>
      <c r="K2530" s="521"/>
      <c r="L2530" s="521"/>
      <c r="M2530" s="521"/>
      <c r="N2530" s="521"/>
      <c r="O2530" s="521"/>
      <c r="P2530" s="521"/>
    </row>
    <row r="2531" spans="1:16" s="17" customFormat="1" ht="15" customHeight="1" x14ac:dyDescent="0.25">
      <c r="A2531" s="714" t="s">
        <v>1006</v>
      </c>
      <c r="B2531" s="714"/>
      <c r="C2531" s="714"/>
      <c r="D2531" s="714"/>
      <c r="E2531" s="714"/>
      <c r="F2531" s="714"/>
      <c r="G2531" s="714"/>
      <c r="H2531" s="714"/>
      <c r="I2531" s="714"/>
      <c r="K2531" s="521"/>
      <c r="L2531" s="521"/>
      <c r="M2531" s="521"/>
      <c r="N2531" s="521"/>
      <c r="O2531" s="521"/>
      <c r="P2531" s="521"/>
    </row>
    <row r="2532" spans="1:16" s="17" customFormat="1" ht="15" customHeight="1" x14ac:dyDescent="0.25">
      <c r="A2532" s="714" t="s">
        <v>1007</v>
      </c>
      <c r="B2532" s="714"/>
      <c r="C2532" s="714"/>
      <c r="D2532" s="714"/>
      <c r="E2532" s="714"/>
      <c r="F2532" s="714"/>
      <c r="G2532" s="714"/>
      <c r="H2532" s="714"/>
      <c r="I2532" s="714"/>
      <c r="K2532" s="521"/>
      <c r="L2532" s="521"/>
      <c r="M2532" s="521"/>
      <c r="N2532" s="521"/>
      <c r="O2532" s="521"/>
      <c r="P2532" s="521"/>
    </row>
    <row r="2533" spans="1:16" s="17" customFormat="1" ht="16.5" customHeight="1" x14ac:dyDescent="0.25">
      <c r="A2533" s="714" t="s">
        <v>1008</v>
      </c>
      <c r="B2533" s="714"/>
      <c r="C2533" s="714"/>
      <c r="D2533" s="714"/>
      <c r="E2533" s="714"/>
      <c r="F2533" s="714"/>
      <c r="G2533" s="714"/>
      <c r="H2533" s="714"/>
      <c r="I2533" s="714"/>
      <c r="K2533" s="521"/>
      <c r="L2533" s="521"/>
      <c r="M2533" s="521"/>
      <c r="N2533" s="521"/>
      <c r="O2533" s="521"/>
      <c r="P2533" s="521"/>
    </row>
    <row r="2534" spans="1:16" s="17" customFormat="1" ht="16.5" customHeight="1" x14ac:dyDescent="0.25">
      <c r="A2534" s="714" t="s">
        <v>1009</v>
      </c>
      <c r="B2534" s="714"/>
      <c r="C2534" s="714"/>
      <c r="D2534" s="714"/>
      <c r="E2534" s="714"/>
      <c r="F2534" s="714"/>
      <c r="G2534" s="714"/>
      <c r="H2534" s="714"/>
      <c r="I2534" s="714"/>
      <c r="K2534" s="521"/>
      <c r="L2534" s="521"/>
      <c r="M2534" s="521"/>
      <c r="N2534" s="521"/>
      <c r="O2534" s="521"/>
      <c r="P2534" s="521"/>
    </row>
    <row r="2535" spans="1:16" s="17" customFormat="1" ht="15" customHeight="1" x14ac:dyDescent="0.25">
      <c r="A2535" s="720" t="s">
        <v>1010</v>
      </c>
      <c r="B2535" s="720"/>
      <c r="C2535" s="720"/>
      <c r="D2535" s="720"/>
      <c r="E2535" s="720"/>
      <c r="F2535" s="720"/>
      <c r="G2535" s="720"/>
      <c r="H2535" s="720"/>
      <c r="I2535" s="720"/>
      <c r="K2535" s="521"/>
      <c r="L2535" s="521"/>
      <c r="M2535" s="521"/>
      <c r="N2535" s="521"/>
      <c r="O2535" s="521"/>
      <c r="P2535" s="521"/>
    </row>
    <row r="2536" spans="1:16" s="17" customFormat="1" ht="15" customHeight="1" x14ac:dyDescent="0.25">
      <c r="A2536" s="687"/>
      <c r="B2536" s="687"/>
      <c r="C2536" s="687"/>
      <c r="D2536" s="687"/>
      <c r="E2536" s="687"/>
      <c r="F2536" s="687"/>
      <c r="G2536" s="687"/>
      <c r="H2536" s="687"/>
      <c r="I2536" s="687"/>
      <c r="K2536" s="696"/>
      <c r="L2536" s="696"/>
      <c r="M2536" s="696"/>
      <c r="N2536" s="696"/>
      <c r="O2536" s="696"/>
      <c r="P2536" s="696"/>
    </row>
    <row r="2537" spans="1:16" s="17" customFormat="1" ht="15" customHeight="1" x14ac:dyDescent="0.25">
      <c r="A2537" s="687"/>
      <c r="B2537" s="687"/>
      <c r="C2537" s="687"/>
      <c r="D2537" s="687"/>
      <c r="E2537" s="687"/>
      <c r="F2537" s="687"/>
      <c r="G2537" s="687"/>
      <c r="H2537" s="687"/>
      <c r="I2537" s="687"/>
      <c r="K2537" s="696"/>
      <c r="L2537" s="696"/>
      <c r="M2537" s="696"/>
      <c r="N2537" s="696"/>
      <c r="O2537" s="696"/>
      <c r="P2537" s="696"/>
    </row>
    <row r="2538" spans="1:16" s="17" customFormat="1" ht="16.5" customHeight="1" x14ac:dyDescent="0.25">
      <c r="A2538" s="556"/>
      <c r="B2538" s="541"/>
      <c r="C2538" s="541"/>
      <c r="D2538" s="541"/>
      <c r="E2538" s="556"/>
      <c r="F2538" s="556"/>
      <c r="G2538" s="556"/>
      <c r="H2538" s="260"/>
      <c r="I2538" s="273"/>
      <c r="K2538" s="521"/>
      <c r="L2538" s="521"/>
      <c r="M2538" s="521"/>
      <c r="N2538" s="521"/>
      <c r="O2538" s="521"/>
      <c r="P2538" s="521"/>
    </row>
    <row r="2539" spans="1:16" s="17" customFormat="1" ht="16.5" customHeight="1" x14ac:dyDescent="0.25">
      <c r="A2539" s="540"/>
      <c r="B2539" s="722" t="s">
        <v>368</v>
      </c>
      <c r="C2539" s="722"/>
      <c r="D2539" s="540"/>
      <c r="E2539" s="540"/>
      <c r="F2539" s="540"/>
      <c r="G2539" s="541"/>
      <c r="H2539" s="260"/>
      <c r="I2539" s="245"/>
      <c r="K2539" s="521"/>
      <c r="L2539" s="521"/>
      <c r="M2539" s="521"/>
      <c r="N2539" s="521"/>
      <c r="O2539" s="521"/>
      <c r="P2539" s="521"/>
    </row>
    <row r="2540" spans="1:16" s="17" customFormat="1" ht="16.5" customHeight="1" x14ac:dyDescent="0.25">
      <c r="A2540" s="540"/>
      <c r="B2540" s="541"/>
      <c r="C2540" s="540"/>
      <c r="D2540" s="540"/>
      <c r="E2540" s="540"/>
      <c r="F2540" s="540"/>
      <c r="G2540" s="541"/>
      <c r="H2540" s="260"/>
      <c r="I2540" s="245"/>
      <c r="K2540" s="521"/>
      <c r="L2540" s="521"/>
      <c r="M2540" s="521"/>
      <c r="N2540" s="521"/>
      <c r="O2540" s="521"/>
      <c r="P2540" s="521"/>
    </row>
    <row r="2541" spans="1:16" s="17" customFormat="1" ht="16.5" customHeight="1" x14ac:dyDescent="0.25">
      <c r="A2541" s="723" t="s">
        <v>1011</v>
      </c>
      <c r="B2541" s="723"/>
      <c r="C2541" s="723"/>
      <c r="D2541" s="723"/>
      <c r="E2541" s="723"/>
      <c r="F2541" s="723"/>
      <c r="G2541" s="723"/>
      <c r="H2541" s="723"/>
      <c r="I2541" s="723"/>
      <c r="K2541" s="521"/>
      <c r="L2541" s="521"/>
      <c r="M2541" s="521"/>
      <c r="N2541" s="521"/>
      <c r="O2541" s="521"/>
    </row>
    <row r="2542" spans="1:16" s="17" customFormat="1" ht="16.5" customHeight="1" x14ac:dyDescent="0.25">
      <c r="A2542" s="523"/>
      <c r="B2542" s="523"/>
      <c r="C2542" s="523"/>
      <c r="D2542" s="523"/>
      <c r="E2542" s="701" t="s">
        <v>85</v>
      </c>
      <c r="F2542" s="523"/>
      <c r="G2542" s="523"/>
      <c r="H2542" s="523"/>
      <c r="I2542" s="523"/>
      <c r="K2542" s="521"/>
      <c r="L2542" s="521"/>
      <c r="M2542" s="521"/>
      <c r="N2542" s="521"/>
      <c r="O2542" s="521"/>
    </row>
    <row r="2543" spans="1:16" s="17" customFormat="1" ht="16.5" customHeight="1" x14ac:dyDescent="0.25">
      <c r="A2543" s="192"/>
      <c r="B2543" s="214"/>
      <c r="C2543" s="15"/>
      <c r="D2543" s="537"/>
      <c r="E2543" s="701"/>
      <c r="F2543" s="537"/>
      <c r="G2543" s="192"/>
      <c r="H2543" s="537"/>
      <c r="I2543" s="537"/>
      <c r="K2543" s="521"/>
      <c r="L2543" s="521"/>
      <c r="M2543" s="521"/>
      <c r="N2543" s="521"/>
      <c r="O2543" s="521"/>
    </row>
    <row r="2544" spans="1:16" s="17" customFormat="1" ht="18" customHeight="1" x14ac:dyDescent="0.25">
      <c r="A2544" s="557" t="s">
        <v>48</v>
      </c>
      <c r="B2544" s="702" t="s">
        <v>49</v>
      </c>
      <c r="C2544" s="703"/>
      <c r="D2544" s="380" t="s">
        <v>86</v>
      </c>
      <c r="E2544" s="530" t="s">
        <v>321</v>
      </c>
      <c r="F2544" s="40" t="s">
        <v>87</v>
      </c>
      <c r="G2544" s="706" t="s">
        <v>52</v>
      </c>
      <c r="H2544" s="707"/>
      <c r="I2544" s="708" t="s">
        <v>53</v>
      </c>
      <c r="K2544" s="521"/>
      <c r="L2544" s="521"/>
      <c r="M2544" s="521"/>
      <c r="N2544" s="521"/>
      <c r="O2544" s="521"/>
      <c r="P2544" s="521"/>
    </row>
    <row r="2545" spans="1:17" s="17" customFormat="1" ht="16.5" customHeight="1" x14ac:dyDescent="0.25">
      <c r="A2545" s="574" t="s">
        <v>88</v>
      </c>
      <c r="B2545" s="704"/>
      <c r="C2545" s="705"/>
      <c r="D2545" s="381" t="s">
        <v>585</v>
      </c>
      <c r="E2545" s="41" t="s">
        <v>573</v>
      </c>
      <c r="F2545" s="41" t="s">
        <v>607</v>
      </c>
      <c r="G2545" s="24" t="s">
        <v>55</v>
      </c>
      <c r="H2545" s="24" t="s">
        <v>56</v>
      </c>
      <c r="I2545" s="709"/>
      <c r="K2545" s="521"/>
      <c r="L2545" s="521"/>
      <c r="M2545" s="521"/>
      <c r="N2545" s="521"/>
      <c r="O2545" s="521"/>
      <c r="P2545" s="521"/>
    </row>
    <row r="2546" spans="1:17" s="17" customFormat="1" ht="12" customHeight="1" x14ac:dyDescent="0.25">
      <c r="A2546" s="142">
        <v>1</v>
      </c>
      <c r="B2546" s="710">
        <v>2</v>
      </c>
      <c r="C2546" s="711"/>
      <c r="D2546" s="131">
        <v>3</v>
      </c>
      <c r="E2546" s="129">
        <v>4</v>
      </c>
      <c r="F2546" s="129">
        <v>5</v>
      </c>
      <c r="G2546" s="129">
        <v>6</v>
      </c>
      <c r="H2546" s="129">
        <v>7</v>
      </c>
      <c r="I2546" s="142">
        <v>8</v>
      </c>
      <c r="K2546" s="521"/>
      <c r="L2546" s="521"/>
      <c r="M2546" s="521"/>
      <c r="N2546" s="521"/>
      <c r="O2546" s="521"/>
      <c r="P2546" s="521"/>
    </row>
    <row r="2547" spans="1:17" s="17" customFormat="1" ht="12" customHeight="1" x14ac:dyDescent="0.25">
      <c r="A2547" s="79" t="s">
        <v>369</v>
      </c>
      <c r="B2547" s="712" t="s">
        <v>370</v>
      </c>
      <c r="C2547" s="713"/>
      <c r="D2547" s="5">
        <f>D360</f>
        <v>0</v>
      </c>
      <c r="E2547" s="289">
        <f>E360</f>
        <v>0</v>
      </c>
      <c r="F2547" s="5">
        <f>F360</f>
        <v>0</v>
      </c>
      <c r="G2547" s="86" t="e">
        <f>F2547/D2547</f>
        <v>#DIV/0!</v>
      </c>
      <c r="H2547" s="87" t="e">
        <f>F2547/E2547</f>
        <v>#DIV/0!</v>
      </c>
      <c r="I2547" s="87">
        <f>F2547/F2549</f>
        <v>0</v>
      </c>
      <c r="K2547" s="521"/>
      <c r="L2547" s="521"/>
      <c r="M2547" s="521"/>
      <c r="N2547" s="521"/>
      <c r="O2547" s="521"/>
      <c r="P2547" s="521"/>
    </row>
    <row r="2548" spans="1:17" s="17" customFormat="1" ht="16.5" customHeight="1" x14ac:dyDescent="0.25">
      <c r="A2548" s="79">
        <v>56000</v>
      </c>
      <c r="B2548" s="712" t="s">
        <v>367</v>
      </c>
      <c r="C2548" s="713"/>
      <c r="D2548" s="5">
        <f>D362</f>
        <v>7937.3600000000006</v>
      </c>
      <c r="E2548" s="289">
        <f>E362</f>
        <v>0</v>
      </c>
      <c r="F2548" s="5">
        <f>F362</f>
        <v>8632.9500000000007</v>
      </c>
      <c r="G2548" s="86">
        <f>F2548/D2548</f>
        <v>1.0876349315137528</v>
      </c>
      <c r="H2548" s="86" t="e">
        <f>F2548/E2548</f>
        <v>#DIV/0!</v>
      </c>
      <c r="I2548" s="86">
        <f>F2548/F2549</f>
        <v>1</v>
      </c>
      <c r="K2548" s="521"/>
      <c r="L2548" s="521"/>
      <c r="M2548" s="521"/>
      <c r="N2548" s="521"/>
      <c r="O2548" s="521"/>
      <c r="P2548" s="521"/>
    </row>
    <row r="2549" spans="1:17" s="17" customFormat="1" ht="16.5" customHeight="1" x14ac:dyDescent="0.25">
      <c r="A2549" s="146"/>
      <c r="B2549" s="718" t="s">
        <v>333</v>
      </c>
      <c r="C2549" s="719"/>
      <c r="D2549" s="465">
        <f>SUM(D2547:D2548)</f>
        <v>7937.3600000000006</v>
      </c>
      <c r="E2549" s="465">
        <f>SUM(E2547:E2548)</f>
        <v>0</v>
      </c>
      <c r="F2549" s="465">
        <f>SUM(F2547:F2548)</f>
        <v>8632.9500000000007</v>
      </c>
      <c r="G2549" s="148">
        <f>F2549/D2549</f>
        <v>1.0876349315137528</v>
      </c>
      <c r="H2549" s="137" t="e">
        <f>F2549/E2549</f>
        <v>#DIV/0!</v>
      </c>
      <c r="I2549" s="137">
        <f>SUM(I2547:I2548)</f>
        <v>1</v>
      </c>
      <c r="K2549" s="521"/>
      <c r="L2549" s="521"/>
      <c r="M2549" s="521"/>
      <c r="N2549" s="521"/>
      <c r="O2549" s="521"/>
      <c r="P2549" s="521"/>
    </row>
    <row r="2550" spans="1:17" s="17" customFormat="1" ht="16.5" customHeight="1" x14ac:dyDescent="0.25">
      <c r="A2550" s="540"/>
      <c r="B2550" s="242"/>
      <c r="C2550" s="242"/>
      <c r="D2550" s="242"/>
      <c r="E2550" s="242"/>
      <c r="F2550" s="242"/>
      <c r="G2550" s="242"/>
      <c r="H2550" s="242"/>
      <c r="I2550" s="242"/>
      <c r="K2550" s="521"/>
      <c r="L2550" s="521"/>
      <c r="M2550" s="521"/>
      <c r="N2550" s="521"/>
      <c r="O2550" s="521"/>
      <c r="P2550" s="521"/>
    </row>
    <row r="2551" spans="1:17" s="17" customFormat="1" ht="16.5" customHeight="1" x14ac:dyDescent="0.25">
      <c r="A2551" s="541"/>
      <c r="B2551" s="720" t="s">
        <v>1012</v>
      </c>
      <c r="C2551" s="720"/>
      <c r="D2551" s="720"/>
      <c r="E2551" s="720"/>
      <c r="F2551" s="720"/>
      <c r="G2551" s="720"/>
      <c r="H2551" s="720"/>
      <c r="I2551" s="720"/>
      <c r="K2551" s="521"/>
      <c r="L2551" s="521"/>
      <c r="M2551" s="521"/>
      <c r="N2551" s="521"/>
      <c r="O2551" s="521"/>
      <c r="P2551" s="521"/>
    </row>
    <row r="2552" spans="1:17" s="17" customFormat="1" ht="16.5" customHeight="1" x14ac:dyDescent="0.25">
      <c r="A2552" s="524" t="s">
        <v>1013</v>
      </c>
      <c r="B2552" s="242"/>
      <c r="C2552" s="242"/>
      <c r="D2552" s="242"/>
      <c r="E2552" s="242"/>
      <c r="F2552" s="242"/>
      <c r="G2552" s="242"/>
      <c r="H2552" s="242"/>
      <c r="I2552" s="242"/>
      <c r="K2552" s="521"/>
      <c r="L2552" s="521"/>
      <c r="M2552" s="521"/>
      <c r="N2552" s="521"/>
      <c r="O2552" s="521"/>
      <c r="P2552" s="521"/>
    </row>
    <row r="2553" spans="1:17" s="17" customFormat="1" ht="16.5" customHeight="1" x14ac:dyDescent="0.25">
      <c r="A2553" s="687"/>
      <c r="B2553" s="242"/>
      <c r="C2553" s="242"/>
      <c r="D2553" s="242"/>
      <c r="E2553" s="242"/>
      <c r="F2553" s="242"/>
      <c r="G2553" s="242"/>
      <c r="H2553" s="242"/>
      <c r="I2553" s="242"/>
      <c r="K2553" s="696"/>
      <c r="L2553" s="696"/>
      <c r="M2553" s="696"/>
      <c r="N2553" s="696"/>
      <c r="O2553" s="696"/>
      <c r="P2553" s="696"/>
    </row>
    <row r="2554" spans="1:17" s="17" customFormat="1" ht="16.5" customHeight="1" x14ac:dyDescent="0.25">
      <c r="A2554" s="687"/>
      <c r="B2554" s="242"/>
      <c r="C2554" s="242"/>
      <c r="D2554" s="242"/>
      <c r="E2554" s="242"/>
      <c r="F2554" s="242"/>
      <c r="G2554" s="242"/>
      <c r="H2554" s="242"/>
      <c r="I2554" s="242"/>
      <c r="K2554" s="696"/>
      <c r="L2554" s="696"/>
      <c r="M2554" s="696"/>
      <c r="N2554" s="696"/>
      <c r="O2554" s="696"/>
      <c r="P2554" s="696"/>
    </row>
    <row r="2555" spans="1:17" s="17" customFormat="1" ht="16.5" customHeight="1" x14ac:dyDescent="0.25">
      <c r="A2555" s="687"/>
      <c r="B2555" s="242"/>
      <c r="C2555" s="242"/>
      <c r="D2555" s="242"/>
      <c r="E2555" s="242"/>
      <c r="F2555" s="242"/>
      <c r="G2555" s="242"/>
      <c r="H2555" s="242"/>
      <c r="I2555" s="242"/>
      <c r="K2555" s="696"/>
      <c r="L2555" s="696"/>
      <c r="M2555" s="696"/>
      <c r="N2555" s="696"/>
      <c r="O2555" s="696"/>
      <c r="P2555" s="696"/>
    </row>
    <row r="2556" spans="1:17" s="17" customFormat="1" ht="16.5" customHeight="1" x14ac:dyDescent="0.25">
      <c r="A2556" s="687"/>
      <c r="B2556" s="242"/>
      <c r="C2556" s="242"/>
      <c r="D2556" s="242"/>
      <c r="E2556" s="242"/>
      <c r="F2556" s="242"/>
      <c r="G2556" s="242"/>
      <c r="H2556" s="242"/>
      <c r="I2556" s="242"/>
      <c r="K2556" s="696"/>
      <c r="L2556" s="696"/>
      <c r="M2556" s="696"/>
      <c r="N2556" s="696"/>
      <c r="O2556" s="696"/>
      <c r="P2556" s="696"/>
    </row>
    <row r="2557" spans="1:17" s="17" customFormat="1" ht="16.5" customHeight="1" x14ac:dyDescent="0.25">
      <c r="A2557" s="687"/>
      <c r="B2557" s="242"/>
      <c r="C2557" s="242"/>
      <c r="D2557" s="242"/>
      <c r="E2557" s="242"/>
      <c r="F2557" s="242"/>
      <c r="G2557" s="242"/>
      <c r="H2557" s="242"/>
      <c r="I2557" s="242"/>
      <c r="K2557" s="696"/>
      <c r="L2557" s="696"/>
      <c r="M2557" s="696"/>
      <c r="N2557" s="696"/>
      <c r="O2557" s="696"/>
      <c r="P2557" s="696"/>
    </row>
    <row r="2558" spans="1:17" s="17" customFormat="1" ht="16.5" customHeight="1" x14ac:dyDescent="0.25">
      <c r="A2558" s="687"/>
      <c r="B2558" s="242"/>
      <c r="C2558" s="242"/>
      <c r="D2558" s="242"/>
      <c r="E2558" s="242"/>
      <c r="F2558" s="242"/>
      <c r="G2558" s="242"/>
      <c r="H2558" s="242"/>
      <c r="I2558" s="259">
        <v>42</v>
      </c>
      <c r="K2558" s="696"/>
      <c r="L2558" s="696"/>
      <c r="M2558" s="696"/>
      <c r="N2558" s="696"/>
      <c r="O2558" s="696"/>
      <c r="P2558" s="696"/>
    </row>
    <row r="2559" spans="1:17" s="17" customFormat="1" ht="16.5" customHeight="1" x14ac:dyDescent="0.25">
      <c r="A2559" s="687"/>
      <c r="B2559" s="242"/>
      <c r="C2559" s="242"/>
      <c r="D2559" s="242"/>
      <c r="E2559" s="242"/>
      <c r="F2559" s="242"/>
      <c r="G2559" s="242"/>
      <c r="H2559" s="242"/>
      <c r="I2559" s="242"/>
      <c r="K2559" s="696"/>
      <c r="L2559" s="696"/>
      <c r="M2559" s="696"/>
      <c r="N2559" s="696"/>
      <c r="O2559" s="696"/>
      <c r="P2559" s="696"/>
    </row>
    <row r="2560" spans="1:17" s="17" customFormat="1" ht="16.5" customHeight="1" x14ac:dyDescent="0.25">
      <c r="A2560" s="524"/>
      <c r="B2560" s="242"/>
      <c r="C2560" s="242"/>
      <c r="D2560" s="242"/>
      <c r="E2560" s="242"/>
      <c r="F2560" s="242"/>
      <c r="G2560" s="242"/>
      <c r="H2560" s="242"/>
      <c r="I2560" s="279"/>
      <c r="K2560" s="521"/>
      <c r="L2560" s="521"/>
      <c r="M2560" s="521"/>
      <c r="N2560" s="521"/>
      <c r="O2560" s="521"/>
      <c r="P2560" s="521"/>
      <c r="Q2560" s="422"/>
    </row>
    <row r="2561" spans="1:19" s="17" customFormat="1" ht="16.5" customHeight="1" x14ac:dyDescent="0.25">
      <c r="A2561" s="725" t="s">
        <v>483</v>
      </c>
      <c r="B2561" s="725"/>
      <c r="C2561" s="725"/>
      <c r="D2561" s="725"/>
      <c r="E2561" s="725"/>
      <c r="F2561" s="725"/>
      <c r="G2561" s="725"/>
      <c r="H2561" s="725"/>
      <c r="I2561" s="725"/>
      <c r="K2561" s="521"/>
      <c r="L2561" s="521"/>
      <c r="M2561" s="521"/>
      <c r="N2561" s="521"/>
      <c r="O2561" s="521"/>
      <c r="P2561" s="521"/>
    </row>
    <row r="2562" spans="1:19" s="17" customFormat="1" ht="16.5" customHeight="1" x14ac:dyDescent="0.25">
      <c r="A2562" s="523"/>
      <c r="B2562" s="523"/>
      <c r="C2562" s="523"/>
      <c r="D2562" s="523"/>
      <c r="E2562" s="701" t="s">
        <v>85</v>
      </c>
      <c r="F2562" s="523"/>
      <c r="G2562" s="523"/>
      <c r="H2562" s="523"/>
      <c r="I2562" s="523"/>
      <c r="K2562" s="521"/>
      <c r="L2562" s="521"/>
      <c r="M2562" s="521"/>
      <c r="N2562" s="521"/>
      <c r="O2562" s="521"/>
      <c r="P2562" s="521"/>
    </row>
    <row r="2563" spans="1:19" s="17" customFormat="1" ht="16.5" customHeight="1" x14ac:dyDescent="0.25">
      <c r="A2563" s="192"/>
      <c r="B2563" s="214"/>
      <c r="C2563" s="15"/>
      <c r="D2563" s="537"/>
      <c r="E2563" s="701"/>
      <c r="F2563" s="537"/>
      <c r="G2563" s="192"/>
      <c r="H2563" s="537"/>
      <c r="I2563" s="537"/>
      <c r="K2563" s="521"/>
      <c r="L2563" s="521"/>
      <c r="M2563" s="521"/>
      <c r="N2563" s="521"/>
      <c r="O2563" s="521"/>
      <c r="P2563" s="521"/>
    </row>
    <row r="2564" spans="1:19" s="17" customFormat="1" ht="12" customHeight="1" x14ac:dyDescent="0.25">
      <c r="A2564" s="557" t="s">
        <v>48</v>
      </c>
      <c r="B2564" s="702" t="s">
        <v>49</v>
      </c>
      <c r="C2564" s="703"/>
      <c r="D2564" s="380" t="s">
        <v>86</v>
      </c>
      <c r="E2564" s="530" t="s">
        <v>152</v>
      </c>
      <c r="F2564" s="40" t="s">
        <v>87</v>
      </c>
      <c r="G2564" s="706" t="s">
        <v>52</v>
      </c>
      <c r="H2564" s="707"/>
      <c r="I2564" s="708" t="s">
        <v>53</v>
      </c>
      <c r="K2564" s="521"/>
      <c r="L2564" s="521"/>
      <c r="M2564" s="521"/>
      <c r="N2564" s="521"/>
      <c r="O2564" s="521"/>
      <c r="P2564" s="521"/>
    </row>
    <row r="2565" spans="1:19" s="17" customFormat="1" ht="16.5" customHeight="1" x14ac:dyDescent="0.25">
      <c r="A2565" s="574" t="s">
        <v>88</v>
      </c>
      <c r="B2565" s="704"/>
      <c r="C2565" s="705"/>
      <c r="D2565" s="381" t="s">
        <v>541</v>
      </c>
      <c r="E2565" s="41" t="s">
        <v>573</v>
      </c>
      <c r="F2565" s="41" t="s">
        <v>607</v>
      </c>
      <c r="G2565" s="24" t="s">
        <v>55</v>
      </c>
      <c r="H2565" s="24" t="s">
        <v>56</v>
      </c>
      <c r="I2565" s="709"/>
      <c r="K2565" s="521"/>
      <c r="L2565" s="521"/>
      <c r="M2565" s="521"/>
      <c r="N2565" s="521"/>
      <c r="O2565" s="521"/>
      <c r="P2565" s="521"/>
    </row>
    <row r="2566" spans="1:19" s="17" customFormat="1" ht="16.5" customHeight="1" x14ac:dyDescent="0.25">
      <c r="A2566" s="142">
        <v>1</v>
      </c>
      <c r="B2566" s="710">
        <v>2</v>
      </c>
      <c r="C2566" s="711"/>
      <c r="D2566" s="131">
        <v>3</v>
      </c>
      <c r="E2566" s="129">
        <v>4</v>
      </c>
      <c r="F2566" s="129">
        <v>5</v>
      </c>
      <c r="G2566" s="129">
        <v>6</v>
      </c>
      <c r="H2566" s="129">
        <v>7</v>
      </c>
      <c r="I2566" s="142">
        <v>8</v>
      </c>
      <c r="K2566" s="521"/>
      <c r="L2566" s="521"/>
      <c r="M2566" s="521"/>
      <c r="N2566" s="521"/>
      <c r="O2566" s="521"/>
      <c r="P2566" s="521"/>
      <c r="S2566" s="422"/>
    </row>
    <row r="2567" spans="1:19" s="17" customFormat="1" ht="16.5" customHeight="1" x14ac:dyDescent="0.25">
      <c r="A2567" s="81">
        <v>111</v>
      </c>
      <c r="B2567" s="716" t="s">
        <v>184</v>
      </c>
      <c r="C2567" s="717"/>
      <c r="D2567" s="5">
        <f>D688</f>
        <v>6935699.2300000004</v>
      </c>
      <c r="E2567" s="5">
        <f>E688</f>
        <v>7817953.2999999998</v>
      </c>
      <c r="F2567" s="5">
        <f>F688</f>
        <v>8947556.9800000004</v>
      </c>
      <c r="G2567" s="86">
        <f t="shared" ref="G2567:G2572" si="214">F2567/D2567</f>
        <v>1.2900728078429087</v>
      </c>
      <c r="H2567" s="87">
        <f t="shared" ref="H2567:H2572" si="215">F2567/E2567</f>
        <v>1.1444884148898664</v>
      </c>
      <c r="I2567" s="87">
        <f>F2567/F2572</f>
        <v>0.95370397879994839</v>
      </c>
      <c r="K2567" s="521"/>
      <c r="L2567" s="521"/>
      <c r="M2567" s="521"/>
      <c r="N2567" s="521"/>
      <c r="O2567" s="521"/>
      <c r="P2567" s="521"/>
    </row>
    <row r="2568" spans="1:19" s="17" customFormat="1" ht="16.5" customHeight="1" x14ac:dyDescent="0.25">
      <c r="A2568" s="81">
        <v>130</v>
      </c>
      <c r="B2568" s="716" t="s">
        <v>185</v>
      </c>
      <c r="C2568" s="717"/>
      <c r="D2568" s="5">
        <f>D903</f>
        <v>116697.73</v>
      </c>
      <c r="E2568" s="157">
        <f>E903</f>
        <v>90005</v>
      </c>
      <c r="F2568" s="5">
        <f>F903</f>
        <v>51298.49</v>
      </c>
      <c r="G2568" s="86">
        <f t="shared" si="214"/>
        <v>0.4395843003972742</v>
      </c>
      <c r="H2568" s="87">
        <f t="shared" si="215"/>
        <v>0.56995155824676402</v>
      </c>
      <c r="I2568" s="87">
        <f>F2568/F2572</f>
        <v>5.4678136310040417E-3</v>
      </c>
      <c r="K2568" s="521"/>
      <c r="L2568" s="521"/>
      <c r="M2568" s="521"/>
      <c r="N2568" s="521"/>
      <c r="O2568" s="521"/>
      <c r="P2568" s="521"/>
    </row>
    <row r="2569" spans="1:19" s="17" customFormat="1" ht="16.5" customHeight="1" x14ac:dyDescent="0.25">
      <c r="A2569" s="81">
        <v>132</v>
      </c>
      <c r="B2569" s="716" t="s">
        <v>186</v>
      </c>
      <c r="C2569" s="717"/>
      <c r="D2569" s="5">
        <v>0</v>
      </c>
      <c r="E2569" s="145">
        <f>0+0+0</f>
        <v>0</v>
      </c>
      <c r="F2569" s="5">
        <v>0</v>
      </c>
      <c r="G2569" s="86" t="e">
        <f t="shared" si="214"/>
        <v>#DIV/0!</v>
      </c>
      <c r="H2569" s="87" t="e">
        <f t="shared" si="215"/>
        <v>#DIV/0!</v>
      </c>
      <c r="I2569" s="87">
        <f>F2569/F2572</f>
        <v>0</v>
      </c>
      <c r="K2569" s="521"/>
      <c r="L2569" s="521"/>
      <c r="M2569" s="521"/>
      <c r="N2569" s="521"/>
      <c r="O2569" s="521"/>
      <c r="P2569" s="521"/>
    </row>
    <row r="2570" spans="1:19" s="17" customFormat="1" ht="16.5" customHeight="1" x14ac:dyDescent="0.25">
      <c r="A2570" s="81">
        <v>200</v>
      </c>
      <c r="B2570" s="716" t="s">
        <v>187</v>
      </c>
      <c r="C2570" s="717"/>
      <c r="D2570" s="5">
        <v>0</v>
      </c>
      <c r="E2570" s="156">
        <f>0+0+0</f>
        <v>0</v>
      </c>
      <c r="F2570" s="5">
        <v>0</v>
      </c>
      <c r="G2570" s="86" t="e">
        <f t="shared" si="214"/>
        <v>#DIV/0!</v>
      </c>
      <c r="H2570" s="87" t="e">
        <f t="shared" si="215"/>
        <v>#DIV/0!</v>
      </c>
      <c r="I2570" s="87">
        <f>F2570/F2572</f>
        <v>0</v>
      </c>
      <c r="K2570" s="521"/>
      <c r="L2570" s="521"/>
      <c r="M2570" s="521"/>
      <c r="N2570" s="521"/>
      <c r="O2570" s="521"/>
      <c r="P2570" s="521"/>
    </row>
    <row r="2571" spans="1:19" s="17" customFormat="1" ht="16.5" customHeight="1" x14ac:dyDescent="0.25">
      <c r="A2571" s="81">
        <v>300</v>
      </c>
      <c r="B2571" s="716" t="s">
        <v>188</v>
      </c>
      <c r="C2571" s="717"/>
      <c r="D2571" s="5">
        <f>D1279</f>
        <v>150128.1</v>
      </c>
      <c r="E2571" s="274">
        <f>E1279</f>
        <v>761636.4</v>
      </c>
      <c r="F2571" s="5">
        <f>F1279</f>
        <v>383046.23</v>
      </c>
      <c r="G2571" s="86">
        <f t="shared" si="214"/>
        <v>2.5514625842863525</v>
      </c>
      <c r="H2571" s="87">
        <f t="shared" si="215"/>
        <v>0.50292531974574739</v>
      </c>
      <c r="I2571" s="87">
        <f>F2571/F2572</f>
        <v>4.0828207569047537E-2</v>
      </c>
      <c r="K2571" s="521"/>
      <c r="L2571" s="521"/>
      <c r="M2571" s="521"/>
      <c r="N2571" s="521"/>
      <c r="O2571" s="521"/>
      <c r="P2571" s="521"/>
    </row>
    <row r="2572" spans="1:19" s="17" customFormat="1" ht="16.5" customHeight="1" x14ac:dyDescent="0.25">
      <c r="A2572" s="146"/>
      <c r="B2572" s="509" t="s">
        <v>84</v>
      </c>
      <c r="C2572" s="510"/>
      <c r="D2572" s="466">
        <f>D2567+D2568+D2569+D2570+D2571</f>
        <v>7202525.0600000005</v>
      </c>
      <c r="E2572" s="466">
        <f>E2567+E2568+E2569+E2570+E2571</f>
        <v>8669594.6999999993</v>
      </c>
      <c r="F2572" s="466">
        <f>F2567+F2568+F2569+F2570+F2571</f>
        <v>9381901.7000000011</v>
      </c>
      <c r="G2572" s="169">
        <f t="shared" si="214"/>
        <v>1.3025850825710283</v>
      </c>
      <c r="H2572" s="137">
        <f t="shared" si="215"/>
        <v>1.0821615109642901</v>
      </c>
      <c r="I2572" s="174">
        <f>SUM(I2567:I2571)</f>
        <v>1</v>
      </c>
      <c r="K2572" s="521"/>
      <c r="L2572" s="521"/>
      <c r="M2572" s="521"/>
      <c r="N2572" s="521"/>
      <c r="O2572" s="521"/>
      <c r="P2572" s="521"/>
    </row>
    <row r="2573" spans="1:19" s="17" customFormat="1" ht="16.5" customHeight="1" x14ac:dyDescent="0.25">
      <c r="A2573" s="275"/>
      <c r="B2573" s="275"/>
      <c r="C2573" s="275"/>
      <c r="D2573" s="275"/>
      <c r="E2573" s="275"/>
      <c r="F2573" s="275"/>
      <c r="G2573" s="537"/>
      <c r="H2573" s="541"/>
      <c r="K2573" s="521"/>
      <c r="L2573" s="521"/>
      <c r="M2573" s="521"/>
      <c r="N2573" s="521"/>
      <c r="O2573" s="521"/>
      <c r="P2573" s="521"/>
    </row>
    <row r="2574" spans="1:19" s="17" customFormat="1" ht="16.5" customHeight="1" x14ac:dyDescent="0.25">
      <c r="A2574" s="715" t="s">
        <v>1014</v>
      </c>
      <c r="B2574" s="715"/>
      <c r="C2574" s="715"/>
      <c r="D2574" s="715"/>
      <c r="E2574" s="715"/>
      <c r="F2574" s="715"/>
      <c r="G2574" s="715"/>
      <c r="H2574" s="715"/>
      <c r="I2574" s="715"/>
      <c r="K2574" s="521"/>
      <c r="L2574" s="521"/>
      <c r="M2574" s="521"/>
      <c r="N2574" s="521"/>
      <c r="O2574" s="521"/>
      <c r="P2574" s="521"/>
    </row>
    <row r="2575" spans="1:19" s="17" customFormat="1" ht="16.5" customHeight="1" x14ac:dyDescent="0.25">
      <c r="A2575" s="387"/>
      <c r="B2575" s="715" t="s">
        <v>1015</v>
      </c>
      <c r="C2575" s="715"/>
      <c r="D2575" s="715"/>
      <c r="E2575" s="715"/>
      <c r="F2575" s="715"/>
      <c r="G2575" s="715"/>
      <c r="H2575" s="715"/>
      <c r="I2575" s="715"/>
      <c r="K2575" s="521"/>
      <c r="L2575" s="521"/>
      <c r="M2575" s="521"/>
      <c r="N2575" s="521"/>
      <c r="O2575" s="521"/>
      <c r="P2575" s="521"/>
    </row>
    <row r="2576" spans="1:19" s="17" customFormat="1" ht="16.5" customHeight="1" x14ac:dyDescent="0.25">
      <c r="A2576" s="724" t="s">
        <v>1016</v>
      </c>
      <c r="B2576" s="724"/>
      <c r="C2576" s="724"/>
      <c r="D2576" s="724"/>
      <c r="E2576" s="724"/>
      <c r="F2576" s="724"/>
      <c r="G2576" s="724"/>
      <c r="H2576" s="724"/>
      <c r="I2576" s="724"/>
      <c r="K2576" s="521"/>
      <c r="L2576" s="521"/>
      <c r="M2576" s="521"/>
      <c r="N2576" s="521"/>
      <c r="O2576" s="521"/>
      <c r="P2576" s="521"/>
    </row>
    <row r="2577" spans="1:16" s="17" customFormat="1" ht="16.5" customHeight="1" x14ac:dyDescent="0.25">
      <c r="A2577" s="714" t="s">
        <v>1017</v>
      </c>
      <c r="B2577" s="714"/>
      <c r="C2577" s="714"/>
      <c r="D2577" s="714"/>
      <c r="E2577" s="714"/>
      <c r="F2577" s="714"/>
      <c r="G2577" s="714"/>
      <c r="H2577" s="714"/>
      <c r="I2577" s="714"/>
      <c r="K2577" s="521"/>
      <c r="L2577" s="521"/>
      <c r="M2577" s="521"/>
      <c r="N2577" s="521"/>
      <c r="O2577" s="521"/>
      <c r="P2577" s="521"/>
    </row>
    <row r="2578" spans="1:16" s="17" customFormat="1" ht="16.5" customHeight="1" x14ac:dyDescent="0.25">
      <c r="A2578" s="721" t="s">
        <v>1018</v>
      </c>
      <c r="B2578" s="721"/>
      <c r="C2578" s="721"/>
      <c r="D2578" s="721"/>
      <c r="E2578" s="721"/>
      <c r="F2578" s="721"/>
      <c r="G2578" s="721"/>
      <c r="H2578" s="721"/>
      <c r="I2578" s="721"/>
      <c r="K2578" s="521"/>
      <c r="L2578" s="521"/>
      <c r="M2578" s="521"/>
      <c r="N2578" s="521"/>
      <c r="O2578" s="521"/>
      <c r="P2578" s="521"/>
    </row>
    <row r="2579" spans="1:16" s="17" customFormat="1" ht="16.5" customHeight="1" x14ac:dyDescent="0.25">
      <c r="A2579" s="537" t="s">
        <v>1019</v>
      </c>
      <c r="B2579" s="537"/>
      <c r="C2579" s="537"/>
      <c r="D2579" s="537"/>
      <c r="E2579" s="537"/>
      <c r="F2579" s="537"/>
      <c r="G2579" s="537"/>
      <c r="H2579" s="537"/>
      <c r="I2579" s="537"/>
      <c r="K2579" s="521"/>
      <c r="L2579" s="521"/>
      <c r="M2579" s="521"/>
      <c r="N2579" s="521"/>
      <c r="O2579" s="521"/>
      <c r="P2579" s="521"/>
    </row>
    <row r="2580" spans="1:16" s="17" customFormat="1" ht="16.5" customHeight="1" x14ac:dyDescent="0.25">
      <c r="A2580" s="714" t="s">
        <v>1020</v>
      </c>
      <c r="B2580" s="714"/>
      <c r="C2580" s="714"/>
      <c r="D2580" s="714"/>
      <c r="E2580" s="714"/>
      <c r="F2580" s="714"/>
      <c r="G2580" s="714"/>
      <c r="H2580" s="714"/>
      <c r="I2580" s="714"/>
      <c r="K2580" s="521"/>
      <c r="L2580" s="521"/>
      <c r="M2580" s="521"/>
      <c r="N2580" s="521"/>
      <c r="O2580" s="521"/>
      <c r="P2580" s="521"/>
    </row>
    <row r="2581" spans="1:16" s="17" customFormat="1" ht="16.5" customHeight="1" x14ac:dyDescent="0.25">
      <c r="A2581" s="523"/>
      <c r="B2581" s="523" t="s">
        <v>1021</v>
      </c>
      <c r="C2581" s="523"/>
      <c r="D2581" s="523"/>
      <c r="E2581" s="523"/>
      <c r="F2581" s="523"/>
      <c r="G2581" s="523"/>
      <c r="H2581" s="523"/>
      <c r="I2581" s="523"/>
      <c r="K2581" s="521"/>
      <c r="L2581" s="521"/>
      <c r="M2581" s="521"/>
      <c r="N2581" s="521"/>
      <c r="O2581" s="521"/>
      <c r="P2581" s="521"/>
    </row>
    <row r="2582" spans="1:16" s="17" customFormat="1" ht="16.5" customHeight="1" x14ac:dyDescent="0.25">
      <c r="A2582" s="523" t="s">
        <v>1022</v>
      </c>
      <c r="B2582" s="523"/>
      <c r="C2582" s="523"/>
      <c r="D2582" s="523"/>
      <c r="E2582" s="523"/>
      <c r="F2582" s="523"/>
      <c r="G2582" s="523"/>
      <c r="H2582" s="523"/>
      <c r="I2582" s="523"/>
      <c r="K2582" s="521"/>
      <c r="L2582" s="521"/>
      <c r="M2582" s="521"/>
      <c r="N2582" s="521"/>
      <c r="O2582" s="521"/>
      <c r="P2582" s="521"/>
    </row>
    <row r="2583" spans="1:16" s="17" customFormat="1" ht="16.5" customHeight="1" x14ac:dyDescent="0.25">
      <c r="A2583" s="523"/>
      <c r="B2583" s="523"/>
      <c r="C2583" s="523"/>
      <c r="D2583" s="523"/>
      <c r="E2583" s="523"/>
      <c r="F2583" s="523"/>
      <c r="G2583" s="523"/>
      <c r="H2583" s="523"/>
      <c r="I2583" s="523"/>
      <c r="K2583" s="521"/>
      <c r="L2583" s="521"/>
      <c r="M2583" s="521"/>
      <c r="N2583" s="521"/>
      <c r="O2583" s="521"/>
      <c r="P2583" s="521"/>
    </row>
    <row r="2584" spans="1:16" s="17" customFormat="1" ht="16.5" customHeight="1" x14ac:dyDescent="0.25">
      <c r="A2584" s="523"/>
      <c r="B2584" s="523"/>
      <c r="C2584" s="523"/>
      <c r="D2584" s="523"/>
      <c r="E2584" s="523"/>
      <c r="F2584" s="523"/>
      <c r="G2584" s="523"/>
      <c r="H2584" s="523"/>
      <c r="I2584" s="409"/>
      <c r="K2584" s="521"/>
      <c r="L2584" s="521"/>
      <c r="M2584" s="521"/>
      <c r="N2584" s="521"/>
      <c r="O2584" s="521"/>
      <c r="P2584" s="521"/>
    </row>
    <row r="2585" spans="1:16" s="17" customFormat="1" ht="16.5" customHeight="1" x14ac:dyDescent="0.25">
      <c r="A2585" s="523"/>
      <c r="B2585" s="523"/>
      <c r="C2585" s="523"/>
      <c r="D2585" s="523"/>
      <c r="E2585" s="523"/>
      <c r="F2585" s="523"/>
      <c r="G2585" s="523"/>
      <c r="H2585" s="523"/>
      <c r="I2585" s="523"/>
      <c r="K2585" s="521"/>
      <c r="L2585" s="521"/>
      <c r="M2585" s="521"/>
      <c r="N2585" s="521"/>
      <c r="O2585" s="521"/>
      <c r="P2585" s="521"/>
    </row>
    <row r="2586" spans="1:16" s="17" customFormat="1" ht="16.5" customHeight="1" x14ac:dyDescent="0.25">
      <c r="A2586" s="540"/>
      <c r="B2586" s="722" t="s">
        <v>371</v>
      </c>
      <c r="C2586" s="722"/>
      <c r="D2586" s="540"/>
      <c r="E2586" s="540"/>
      <c r="F2586" s="540"/>
      <c r="G2586" s="541"/>
      <c r="H2586" s="260"/>
      <c r="I2586" s="245"/>
      <c r="K2586" s="521"/>
      <c r="L2586" s="521"/>
      <c r="M2586" s="521"/>
      <c r="N2586" s="521"/>
      <c r="O2586" s="521"/>
      <c r="P2586" s="521"/>
    </row>
    <row r="2587" spans="1:16" s="17" customFormat="1" ht="16.5" customHeight="1" x14ac:dyDescent="0.25">
      <c r="A2587" s="540"/>
      <c r="B2587" s="540"/>
      <c r="C2587" s="540"/>
      <c r="D2587" s="540"/>
      <c r="E2587" s="540"/>
      <c r="F2587" s="540"/>
      <c r="G2587" s="541"/>
      <c r="H2587" s="260"/>
      <c r="I2587" s="245"/>
      <c r="K2587" s="521"/>
      <c r="L2587" s="521"/>
      <c r="M2587" s="521"/>
      <c r="N2587" s="521"/>
      <c r="O2587" s="521"/>
      <c r="P2587" s="521"/>
    </row>
    <row r="2588" spans="1:16" s="17" customFormat="1" ht="16.5" customHeight="1" x14ac:dyDescent="0.25">
      <c r="A2588" s="723" t="s">
        <v>1023</v>
      </c>
      <c r="B2588" s="723"/>
      <c r="C2588" s="723"/>
      <c r="D2588" s="723"/>
      <c r="E2588" s="723"/>
      <c r="F2588" s="723"/>
      <c r="G2588" s="723"/>
      <c r="H2588" s="723"/>
      <c r="I2588" s="723"/>
      <c r="K2588" s="521"/>
      <c r="L2588" s="521"/>
      <c r="M2588" s="521"/>
      <c r="N2588" s="521"/>
      <c r="O2588" s="521"/>
      <c r="P2588" s="521"/>
    </row>
    <row r="2589" spans="1:16" s="17" customFormat="1" ht="16.5" customHeight="1" x14ac:dyDescent="0.25">
      <c r="A2589" s="723" t="s">
        <v>1024</v>
      </c>
      <c r="B2589" s="723"/>
      <c r="C2589" s="723"/>
      <c r="D2589" s="723"/>
      <c r="E2589" s="723"/>
      <c r="F2589" s="723"/>
      <c r="G2589" s="723"/>
      <c r="H2589" s="723"/>
      <c r="I2589" s="723"/>
      <c r="K2589" s="521"/>
      <c r="L2589" s="521"/>
      <c r="M2589" s="521"/>
      <c r="N2589" s="521"/>
      <c r="O2589" s="521"/>
      <c r="P2589" s="521"/>
    </row>
    <row r="2590" spans="1:16" s="17" customFormat="1" ht="12" customHeight="1" x14ac:dyDescent="0.25">
      <c r="A2590" s="585" t="s">
        <v>1025</v>
      </c>
      <c r="B2590" s="585"/>
      <c r="C2590" s="585"/>
      <c r="D2590" s="585"/>
      <c r="E2590" s="585"/>
      <c r="F2590" s="585"/>
      <c r="G2590" s="585"/>
      <c r="H2590" s="585"/>
      <c r="I2590" s="585"/>
      <c r="K2590" s="521"/>
      <c r="L2590" s="521"/>
      <c r="M2590" s="521"/>
      <c r="N2590" s="521"/>
      <c r="O2590" s="521"/>
      <c r="P2590" s="521"/>
    </row>
    <row r="2591" spans="1:16" s="17" customFormat="1" ht="16.5" customHeight="1" x14ac:dyDescent="0.25">
      <c r="A2591" s="523"/>
      <c r="B2591" s="523"/>
      <c r="C2591" s="523"/>
      <c r="D2591" s="523"/>
      <c r="E2591" s="701" t="s">
        <v>85</v>
      </c>
      <c r="F2591" s="523"/>
      <c r="G2591" s="523"/>
      <c r="H2591" s="523"/>
      <c r="I2591" s="523"/>
      <c r="K2591" s="521"/>
      <c r="L2591" s="521"/>
      <c r="M2591" s="521"/>
      <c r="N2591" s="521"/>
      <c r="O2591" s="521"/>
      <c r="P2591" s="521"/>
    </row>
    <row r="2592" spans="1:16" s="17" customFormat="1" ht="12" customHeight="1" x14ac:dyDescent="0.25">
      <c r="A2592" s="192"/>
      <c r="B2592" s="214"/>
      <c r="C2592" s="15"/>
      <c r="D2592" s="537"/>
      <c r="E2592" s="701"/>
      <c r="F2592" s="537"/>
      <c r="G2592" s="192"/>
      <c r="H2592" s="537"/>
      <c r="I2592" s="537"/>
      <c r="K2592" s="521"/>
      <c r="L2592" s="521"/>
      <c r="M2592" s="521"/>
      <c r="N2592" s="521"/>
      <c r="O2592" s="521"/>
      <c r="P2592" s="521"/>
    </row>
    <row r="2593" spans="1:16" s="17" customFormat="1" ht="16.5" customHeight="1" x14ac:dyDescent="0.25">
      <c r="A2593" s="557" t="s">
        <v>48</v>
      </c>
      <c r="B2593" s="702" t="s">
        <v>49</v>
      </c>
      <c r="C2593" s="703"/>
      <c r="D2593" s="380" t="s">
        <v>86</v>
      </c>
      <c r="E2593" s="530" t="s">
        <v>321</v>
      </c>
      <c r="F2593" s="40" t="s">
        <v>87</v>
      </c>
      <c r="G2593" s="706" t="s">
        <v>52</v>
      </c>
      <c r="H2593" s="707"/>
      <c r="I2593" s="708" t="s">
        <v>53</v>
      </c>
      <c r="K2593" s="521"/>
      <c r="L2593" s="521"/>
      <c r="M2593" s="521"/>
      <c r="N2593" s="521"/>
      <c r="O2593" s="521"/>
      <c r="P2593" s="521"/>
    </row>
    <row r="2594" spans="1:16" s="17" customFormat="1" ht="16.5" customHeight="1" x14ac:dyDescent="0.25">
      <c r="A2594" s="574" t="s">
        <v>88</v>
      </c>
      <c r="B2594" s="704"/>
      <c r="C2594" s="705"/>
      <c r="D2594" s="381" t="s">
        <v>541</v>
      </c>
      <c r="E2594" s="41" t="s">
        <v>573</v>
      </c>
      <c r="F2594" s="41" t="s">
        <v>607</v>
      </c>
      <c r="G2594" s="24" t="s">
        <v>55</v>
      </c>
      <c r="H2594" s="24" t="s">
        <v>56</v>
      </c>
      <c r="I2594" s="709"/>
      <c r="K2594" s="521"/>
      <c r="L2594" s="521"/>
      <c r="M2594" s="521"/>
      <c r="N2594" s="521"/>
      <c r="O2594" s="521"/>
      <c r="P2594" s="521"/>
    </row>
    <row r="2595" spans="1:16" s="17" customFormat="1" ht="16.5" customHeight="1" x14ac:dyDescent="0.25">
      <c r="A2595" s="142">
        <v>1</v>
      </c>
      <c r="B2595" s="710">
        <v>2</v>
      </c>
      <c r="C2595" s="711"/>
      <c r="D2595" s="129">
        <v>3</v>
      </c>
      <c r="E2595" s="129">
        <v>3</v>
      </c>
      <c r="F2595" s="129">
        <v>5</v>
      </c>
      <c r="G2595" s="129">
        <v>6</v>
      </c>
      <c r="H2595" s="129">
        <v>7</v>
      </c>
      <c r="I2595" s="142">
        <v>8</v>
      </c>
      <c r="K2595" s="521"/>
      <c r="L2595" s="521"/>
      <c r="M2595" s="521"/>
      <c r="N2595" s="521"/>
      <c r="O2595" s="521"/>
      <c r="P2595" s="521"/>
    </row>
    <row r="2596" spans="1:16" s="17" customFormat="1" ht="16.5" customHeight="1" x14ac:dyDescent="0.25">
      <c r="A2596" s="79" t="s">
        <v>372</v>
      </c>
      <c r="B2596" s="712" t="s">
        <v>370</v>
      </c>
      <c r="C2596" s="713"/>
      <c r="D2596" s="5">
        <f>D365</f>
        <v>58681</v>
      </c>
      <c r="E2596" s="476">
        <f>E365</f>
        <v>50001</v>
      </c>
      <c r="F2596" s="5">
        <f>F365</f>
        <v>49050.2</v>
      </c>
      <c r="G2596" s="86">
        <f>F2596/D2596</f>
        <v>0.83587873417290093</v>
      </c>
      <c r="H2596" s="87">
        <f>F2596/E2596</f>
        <v>0.98098438031239366</v>
      </c>
      <c r="I2596" s="87">
        <f>F2596/F2598</f>
        <v>0.73941829649572932</v>
      </c>
      <c r="K2596" s="521"/>
      <c r="L2596" s="521"/>
      <c r="M2596" s="521"/>
      <c r="N2596" s="521"/>
      <c r="O2596" s="521"/>
      <c r="P2596" s="521"/>
    </row>
    <row r="2597" spans="1:16" s="17" customFormat="1" ht="16.5" customHeight="1" x14ac:dyDescent="0.25">
      <c r="A2597" s="79"/>
      <c r="B2597" s="562" t="s">
        <v>529</v>
      </c>
      <c r="C2597" s="515"/>
      <c r="D2597" s="5">
        <f>D364</f>
        <v>2358</v>
      </c>
      <c r="E2597" s="476">
        <f>E364</f>
        <v>0</v>
      </c>
      <c r="F2597" s="5">
        <f>F364</f>
        <v>17286</v>
      </c>
      <c r="G2597" s="86">
        <f>F2597/D2597</f>
        <v>7.330788804071247</v>
      </c>
      <c r="H2597" s="87" t="e">
        <f>F2597/E2597</f>
        <v>#DIV/0!</v>
      </c>
      <c r="I2597" s="87">
        <f>F2597/F2598</f>
        <v>0.26058170350427068</v>
      </c>
      <c r="K2597" s="521"/>
      <c r="L2597" s="521"/>
      <c r="M2597" s="521"/>
      <c r="N2597" s="521"/>
      <c r="O2597" s="521"/>
      <c r="P2597" s="521"/>
    </row>
    <row r="2598" spans="1:16" s="17" customFormat="1" ht="12" customHeight="1" x14ac:dyDescent="0.25">
      <c r="A2598" s="146"/>
      <c r="B2598" s="718" t="s">
        <v>333</v>
      </c>
      <c r="C2598" s="719"/>
      <c r="D2598" s="465">
        <f>D2596+D2597</f>
        <v>61039</v>
      </c>
      <c r="E2598" s="465">
        <f>E2596</f>
        <v>50001</v>
      </c>
      <c r="F2598" s="465">
        <f>F2596+F2597</f>
        <v>66336.2</v>
      </c>
      <c r="G2598" s="148">
        <f>F2598/D2598</f>
        <v>1.0867838594996642</v>
      </c>
      <c r="H2598" s="137">
        <f>F2598/E2598</f>
        <v>1.326697466050679</v>
      </c>
      <c r="I2598" s="137">
        <f>SUM(I2596:I2597)</f>
        <v>1</v>
      </c>
      <c r="K2598" s="521"/>
      <c r="L2598" s="521"/>
      <c r="M2598" s="521"/>
      <c r="N2598" s="521"/>
      <c r="O2598" s="521"/>
      <c r="P2598" s="521"/>
    </row>
    <row r="2599" spans="1:16" s="17" customFormat="1" ht="16.5" customHeight="1" x14ac:dyDescent="0.25">
      <c r="A2599" s="524"/>
      <c r="B2599" s="524"/>
      <c r="C2599" s="524"/>
      <c r="D2599" s="524"/>
      <c r="E2599" s="524"/>
      <c r="F2599" s="524"/>
      <c r="G2599" s="524"/>
      <c r="H2599" s="524"/>
      <c r="I2599" s="524"/>
      <c r="K2599" s="521"/>
      <c r="L2599" s="521"/>
      <c r="M2599" s="521"/>
      <c r="N2599" s="521"/>
      <c r="O2599" s="521"/>
      <c r="P2599" s="521"/>
    </row>
    <row r="2600" spans="1:16" s="17" customFormat="1" ht="12" customHeight="1" x14ac:dyDescent="0.25">
      <c r="A2600" s="524"/>
      <c r="B2600" s="720" t="s">
        <v>373</v>
      </c>
      <c r="C2600" s="720"/>
      <c r="D2600" s="720"/>
      <c r="E2600" s="720"/>
      <c r="F2600" s="720"/>
      <c r="G2600" s="720"/>
      <c r="H2600" s="720"/>
      <c r="I2600" s="720"/>
      <c r="K2600" s="521"/>
      <c r="L2600" s="521"/>
      <c r="M2600" s="521"/>
      <c r="N2600" s="521"/>
      <c r="O2600" s="521"/>
      <c r="P2600" s="521"/>
    </row>
    <row r="2601" spans="1:16" s="17" customFormat="1" ht="12" customHeight="1" x14ac:dyDescent="0.25">
      <c r="A2601" s="524"/>
      <c r="B2601" s="524"/>
      <c r="C2601" s="524"/>
      <c r="D2601" s="315" t="s">
        <v>85</v>
      </c>
      <c r="E2601" s="316"/>
      <c r="F2601" s="316"/>
      <c r="G2601" s="524"/>
      <c r="H2601" s="524"/>
      <c r="I2601" s="524"/>
      <c r="K2601" s="521"/>
      <c r="L2601" s="521"/>
      <c r="M2601" s="521"/>
      <c r="N2601" s="521"/>
      <c r="O2601" s="521"/>
      <c r="P2601" s="521"/>
    </row>
    <row r="2602" spans="1:16" s="17" customFormat="1" ht="16.5" customHeight="1" x14ac:dyDescent="0.25">
      <c r="A2602" s="541"/>
      <c r="B2602" s="541" t="s">
        <v>374</v>
      </c>
      <c r="C2602" s="541"/>
      <c r="D2602" s="317">
        <v>18290</v>
      </c>
      <c r="E2602" s="318">
        <f>D2602/D2606</f>
        <v>0.3728832909957554</v>
      </c>
      <c r="F2602" s="541"/>
      <c r="G2602" s="541"/>
      <c r="H2602" s="541"/>
      <c r="I2602" s="245"/>
      <c r="K2602" s="521"/>
      <c r="L2602" s="521"/>
      <c r="M2602" s="521"/>
      <c r="N2602" s="521"/>
      <c r="O2602" s="521"/>
      <c r="P2602" s="521"/>
    </row>
    <row r="2603" spans="1:16" s="17" customFormat="1" ht="16.5" customHeight="1" x14ac:dyDescent="0.25">
      <c r="A2603" s="541"/>
      <c r="B2603" s="541" t="s">
        <v>375</v>
      </c>
      <c r="C2603" s="541"/>
      <c r="D2603" s="317">
        <v>30710.2</v>
      </c>
      <c r="E2603" s="318">
        <f>D2603/D2606</f>
        <v>0.62609734516882709</v>
      </c>
      <c r="F2603" s="541"/>
      <c r="G2603" s="541"/>
      <c r="H2603" s="541"/>
      <c r="I2603" s="245"/>
      <c r="K2603" s="521"/>
      <c r="L2603" s="521"/>
      <c r="M2603" s="521"/>
      <c r="N2603" s="521"/>
      <c r="O2603" s="521"/>
      <c r="P2603" s="521"/>
    </row>
    <row r="2604" spans="1:16" s="17" customFormat="1" ht="12" customHeight="1" x14ac:dyDescent="0.25">
      <c r="A2604" s="541"/>
      <c r="B2604" s="541" t="s">
        <v>463</v>
      </c>
      <c r="C2604" s="541"/>
      <c r="D2604" s="317">
        <v>50</v>
      </c>
      <c r="E2604" s="318">
        <f>D2604/D2606</f>
        <v>1.0193638354175927E-3</v>
      </c>
      <c r="F2604" s="541"/>
      <c r="G2604" s="541"/>
      <c r="H2604" s="541"/>
      <c r="I2604" s="245"/>
      <c r="K2604" s="521"/>
      <c r="L2604" s="521"/>
      <c r="M2604" s="521"/>
      <c r="N2604" s="521"/>
      <c r="O2604" s="521"/>
      <c r="P2604" s="521"/>
    </row>
    <row r="2605" spans="1:16" s="17" customFormat="1" ht="16.5" customHeight="1" x14ac:dyDescent="0.25">
      <c r="A2605" s="541"/>
      <c r="B2605" s="541" t="s">
        <v>464</v>
      </c>
      <c r="C2605" s="541"/>
      <c r="D2605" s="317">
        <v>0</v>
      </c>
      <c r="E2605" s="318">
        <f>D2605/D2606</f>
        <v>0</v>
      </c>
      <c r="F2605" s="541"/>
      <c r="G2605" s="541"/>
      <c r="H2605" s="541"/>
      <c r="I2605" s="245"/>
      <c r="K2605" s="521"/>
      <c r="L2605" s="521"/>
      <c r="M2605" s="521"/>
      <c r="N2605" s="521"/>
      <c r="O2605" s="521"/>
      <c r="P2605" s="521"/>
    </row>
    <row r="2606" spans="1:16" s="17" customFormat="1" ht="16.5" customHeight="1" x14ac:dyDescent="0.25">
      <c r="A2606" s="524"/>
      <c r="B2606" s="319" t="s">
        <v>376</v>
      </c>
      <c r="C2606" s="537"/>
      <c r="D2606" s="320">
        <f>D2602+D2603+D2604+D2605</f>
        <v>49050.2</v>
      </c>
      <c r="E2606" s="321">
        <f>E2602+E2603+E2604+E2605</f>
        <v>1.0000000000000002</v>
      </c>
      <c r="F2606" s="524"/>
      <c r="G2606" s="524"/>
      <c r="H2606" s="524"/>
      <c r="I2606" s="245"/>
      <c r="K2606" s="521"/>
      <c r="L2606" s="521"/>
      <c r="M2606" s="521"/>
      <c r="N2606" s="521"/>
      <c r="O2606" s="521"/>
      <c r="P2606" s="521"/>
    </row>
    <row r="2607" spans="1:16" s="17" customFormat="1" ht="16.5" customHeight="1" x14ac:dyDescent="0.25">
      <c r="A2607" s="242"/>
      <c r="B2607" s="242"/>
      <c r="C2607" s="242"/>
      <c r="D2607" s="242"/>
      <c r="E2607" s="242"/>
      <c r="K2607" s="521"/>
      <c r="L2607" s="521"/>
      <c r="M2607" s="521"/>
      <c r="N2607" s="521"/>
      <c r="O2607" s="521"/>
      <c r="P2607" s="521"/>
    </row>
    <row r="2608" spans="1:16" s="17" customFormat="1" ht="16.5" customHeight="1" x14ac:dyDescent="0.25">
      <c r="A2608" s="242"/>
      <c r="B2608" s="242"/>
      <c r="C2608" s="242"/>
      <c r="D2608" s="242"/>
      <c r="E2608" s="242"/>
      <c r="K2608" s="696"/>
      <c r="L2608" s="696"/>
      <c r="M2608" s="696"/>
      <c r="N2608" s="696"/>
      <c r="O2608" s="696"/>
      <c r="P2608" s="696"/>
    </row>
    <row r="2609" spans="1:16" s="17" customFormat="1" ht="16.5" customHeight="1" x14ac:dyDescent="0.25">
      <c r="A2609" s="242"/>
      <c r="B2609" s="242"/>
      <c r="C2609" s="242"/>
      <c r="D2609" s="242"/>
      <c r="E2609" s="242"/>
      <c r="K2609" s="696"/>
      <c r="L2609" s="696"/>
      <c r="M2609" s="696"/>
      <c r="N2609" s="696"/>
      <c r="O2609" s="696"/>
      <c r="P2609" s="696"/>
    </row>
    <row r="2610" spans="1:16" s="17" customFormat="1" ht="16.5" customHeight="1" x14ac:dyDescent="0.25">
      <c r="A2610" s="242"/>
      <c r="B2610" s="242"/>
      <c r="C2610" s="242"/>
      <c r="D2610" s="242"/>
      <c r="E2610" s="242"/>
      <c r="K2610" s="696"/>
      <c r="L2610" s="696"/>
      <c r="M2610" s="696"/>
      <c r="N2610" s="696"/>
      <c r="O2610" s="696"/>
      <c r="P2610" s="696"/>
    </row>
    <row r="2611" spans="1:16" s="17" customFormat="1" ht="16.5" customHeight="1" x14ac:dyDescent="0.25">
      <c r="A2611" s="242"/>
      <c r="B2611" s="242"/>
      <c r="C2611" s="242"/>
      <c r="D2611" s="242"/>
      <c r="E2611" s="242"/>
      <c r="K2611" s="696"/>
      <c r="L2611" s="696"/>
      <c r="M2611" s="696"/>
      <c r="N2611" s="696"/>
      <c r="O2611" s="696"/>
      <c r="P2611" s="696"/>
    </row>
    <row r="2612" spans="1:16" s="17" customFormat="1" ht="16.5" customHeight="1" x14ac:dyDescent="0.25">
      <c r="A2612" s="242"/>
      <c r="B2612" s="242"/>
      <c r="C2612" s="242"/>
      <c r="D2612" s="242"/>
      <c r="E2612" s="242"/>
      <c r="K2612" s="696"/>
      <c r="L2612" s="696"/>
      <c r="M2612" s="696"/>
      <c r="N2612" s="696"/>
      <c r="O2612" s="696"/>
      <c r="P2612" s="696"/>
    </row>
    <row r="2613" spans="1:16" s="17" customFormat="1" ht="16.5" customHeight="1" x14ac:dyDescent="0.25">
      <c r="A2613" s="242"/>
      <c r="B2613" s="242"/>
      <c r="C2613" s="242"/>
      <c r="D2613" s="242"/>
      <c r="E2613" s="242"/>
      <c r="K2613" s="696"/>
      <c r="L2613" s="696"/>
      <c r="M2613" s="696"/>
      <c r="N2613" s="696"/>
      <c r="O2613" s="696"/>
      <c r="P2613" s="696"/>
    </row>
    <row r="2614" spans="1:16" s="17" customFormat="1" ht="16.5" customHeight="1" x14ac:dyDescent="0.25">
      <c r="A2614" s="242"/>
      <c r="B2614" s="242"/>
      <c r="C2614" s="242"/>
      <c r="D2614" s="242"/>
      <c r="E2614" s="242"/>
      <c r="K2614" s="696"/>
      <c r="L2614" s="696"/>
      <c r="M2614" s="696"/>
      <c r="N2614" s="696"/>
      <c r="O2614" s="696"/>
      <c r="P2614" s="696"/>
    </row>
    <row r="2615" spans="1:16" s="17" customFormat="1" ht="16.5" customHeight="1" x14ac:dyDescent="0.25">
      <c r="A2615" s="242"/>
      <c r="B2615" s="242"/>
      <c r="C2615" s="242"/>
      <c r="D2615" s="242"/>
      <c r="E2615" s="242"/>
      <c r="K2615" s="696"/>
      <c r="L2615" s="696"/>
      <c r="M2615" s="696"/>
      <c r="N2615" s="696"/>
      <c r="O2615" s="696"/>
      <c r="P2615" s="696"/>
    </row>
    <row r="2616" spans="1:16" s="17" customFormat="1" ht="16.5" customHeight="1" x14ac:dyDescent="0.25">
      <c r="A2616" s="242"/>
      <c r="B2616" s="242"/>
      <c r="C2616" s="242"/>
      <c r="D2616" s="242"/>
      <c r="E2616" s="242"/>
      <c r="K2616" s="696"/>
      <c r="L2616" s="696"/>
      <c r="M2616" s="696"/>
      <c r="N2616" s="696"/>
      <c r="O2616" s="696"/>
      <c r="P2616" s="696"/>
    </row>
    <row r="2617" spans="1:16" s="17" customFormat="1" ht="16.5" customHeight="1" x14ac:dyDescent="0.25">
      <c r="A2617" s="242"/>
      <c r="B2617" s="242"/>
      <c r="C2617" s="242"/>
      <c r="D2617" s="242"/>
      <c r="E2617" s="242"/>
      <c r="K2617" s="696"/>
      <c r="L2617" s="696"/>
      <c r="M2617" s="696"/>
      <c r="N2617" s="696"/>
      <c r="O2617" s="696"/>
      <c r="P2617" s="696"/>
    </row>
    <row r="2618" spans="1:16" s="17" customFormat="1" ht="16.5" customHeight="1" x14ac:dyDescent="0.25">
      <c r="A2618" s="242"/>
      <c r="B2618" s="242"/>
      <c r="C2618" s="242"/>
      <c r="D2618" s="242"/>
      <c r="E2618" s="242"/>
      <c r="K2618" s="696"/>
      <c r="L2618" s="696"/>
      <c r="M2618" s="696"/>
      <c r="N2618" s="696"/>
      <c r="O2618" s="696"/>
      <c r="P2618" s="696"/>
    </row>
    <row r="2619" spans="1:16" s="17" customFormat="1" ht="16.5" customHeight="1" x14ac:dyDescent="0.25">
      <c r="A2619" s="242"/>
      <c r="B2619" s="242"/>
      <c r="C2619" s="242"/>
      <c r="D2619" s="242"/>
      <c r="E2619" s="242"/>
      <c r="I2619" s="695">
        <v>43</v>
      </c>
      <c r="K2619" s="696"/>
      <c r="L2619" s="696"/>
      <c r="M2619" s="696"/>
      <c r="N2619" s="696"/>
      <c r="O2619" s="696"/>
      <c r="P2619" s="696"/>
    </row>
    <row r="2620" spans="1:16" s="17" customFormat="1" ht="16.5" customHeight="1" x14ac:dyDescent="0.25">
      <c r="A2620" s="242"/>
      <c r="B2620" s="242"/>
      <c r="C2620" s="242"/>
      <c r="D2620" s="242"/>
      <c r="E2620" s="242"/>
      <c r="K2620" s="696"/>
      <c r="L2620" s="696"/>
      <c r="M2620" s="696"/>
      <c r="N2620" s="696"/>
      <c r="O2620" s="696"/>
      <c r="P2620" s="696"/>
    </row>
    <row r="2621" spans="1:16" s="17" customFormat="1" ht="16.5" customHeight="1" x14ac:dyDescent="0.25">
      <c r="B2621" s="575"/>
      <c r="C2621" s="575"/>
      <c r="D2621" s="575"/>
      <c r="K2621" s="521"/>
      <c r="L2621" s="521"/>
      <c r="M2621" s="521"/>
      <c r="N2621" s="521"/>
      <c r="O2621" s="521"/>
      <c r="P2621" s="521"/>
    </row>
    <row r="2622" spans="1:16" s="17" customFormat="1" ht="16.5" customHeight="1" x14ac:dyDescent="0.25">
      <c r="A2622" s="523"/>
      <c r="B2622" s="598" t="s">
        <v>501</v>
      </c>
      <c r="C2622" s="523"/>
      <c r="D2622" s="523"/>
      <c r="E2622" s="701" t="s">
        <v>85</v>
      </c>
      <c r="K2622" s="521"/>
      <c r="L2622" s="521"/>
      <c r="M2622" s="521"/>
      <c r="N2622" s="521"/>
      <c r="O2622" s="521"/>
      <c r="P2622" s="521"/>
    </row>
    <row r="2623" spans="1:16" s="17" customFormat="1" ht="16.5" customHeight="1" x14ac:dyDescent="0.25">
      <c r="A2623" s="192"/>
      <c r="B2623" s="214"/>
      <c r="C2623" s="15"/>
      <c r="D2623" s="537"/>
      <c r="E2623" s="701"/>
      <c r="F2623" s="537"/>
      <c r="G2623" s="192"/>
      <c r="H2623" s="537"/>
      <c r="I2623" s="537"/>
      <c r="K2623" s="521"/>
      <c r="L2623" s="521"/>
      <c r="M2623" s="521"/>
      <c r="N2623" s="521"/>
      <c r="O2623" s="521"/>
      <c r="P2623" s="521"/>
    </row>
    <row r="2624" spans="1:16" s="17" customFormat="1" ht="16.5" customHeight="1" x14ac:dyDescent="0.25">
      <c r="A2624" s="557" t="s">
        <v>48</v>
      </c>
      <c r="B2624" s="702" t="s">
        <v>49</v>
      </c>
      <c r="C2624" s="703"/>
      <c r="D2624" s="380" t="s">
        <v>86</v>
      </c>
      <c r="E2624" s="530" t="s">
        <v>152</v>
      </c>
      <c r="F2624" s="40" t="s">
        <v>87</v>
      </c>
      <c r="G2624" s="706" t="s">
        <v>52</v>
      </c>
      <c r="H2624" s="707"/>
      <c r="I2624" s="708" t="s">
        <v>53</v>
      </c>
      <c r="K2624" s="521"/>
      <c r="L2624" s="521"/>
      <c r="M2624" s="521"/>
      <c r="N2624" s="521"/>
      <c r="O2624" s="521"/>
      <c r="P2624" s="521"/>
    </row>
    <row r="2625" spans="1:18" s="17" customFormat="1" ht="16.5" customHeight="1" x14ac:dyDescent="0.25">
      <c r="A2625" s="574" t="s">
        <v>88</v>
      </c>
      <c r="B2625" s="704"/>
      <c r="C2625" s="705"/>
      <c r="D2625" s="381" t="s">
        <v>541</v>
      </c>
      <c r="E2625" s="41" t="s">
        <v>573</v>
      </c>
      <c r="F2625" s="41" t="s">
        <v>607</v>
      </c>
      <c r="G2625" s="24" t="s">
        <v>55</v>
      </c>
      <c r="H2625" s="24" t="s">
        <v>56</v>
      </c>
      <c r="I2625" s="709"/>
      <c r="K2625" s="521"/>
      <c r="L2625" s="521"/>
      <c r="M2625" s="521"/>
      <c r="N2625" s="521"/>
      <c r="O2625" s="521"/>
      <c r="P2625" s="521"/>
    </row>
    <row r="2626" spans="1:18" s="17" customFormat="1" ht="16.5" customHeight="1" x14ac:dyDescent="0.25">
      <c r="A2626" s="142">
        <v>1</v>
      </c>
      <c r="B2626" s="710">
        <v>2</v>
      </c>
      <c r="C2626" s="711"/>
      <c r="D2626" s="129">
        <v>3</v>
      </c>
      <c r="E2626" s="129">
        <v>4</v>
      </c>
      <c r="F2626" s="129">
        <v>5</v>
      </c>
      <c r="G2626" s="129">
        <v>6</v>
      </c>
      <c r="H2626" s="129">
        <v>7</v>
      </c>
      <c r="I2626" s="142">
        <v>8</v>
      </c>
      <c r="K2626" s="521"/>
      <c r="L2626" s="521"/>
      <c r="M2626" s="521"/>
      <c r="N2626" s="521"/>
      <c r="O2626" s="521"/>
      <c r="P2626" s="521"/>
    </row>
    <row r="2627" spans="1:18" s="17" customFormat="1" ht="16.5" customHeight="1" x14ac:dyDescent="0.25">
      <c r="A2627" s="81">
        <v>111</v>
      </c>
      <c r="B2627" s="716" t="s">
        <v>184</v>
      </c>
      <c r="C2627" s="717"/>
      <c r="D2627" s="5">
        <f>D689</f>
        <v>3309504.48</v>
      </c>
      <c r="E2627" s="5">
        <f>E689</f>
        <v>3147569.25</v>
      </c>
      <c r="F2627" s="5">
        <f>F689</f>
        <v>2592426.11</v>
      </c>
      <c r="G2627" s="86">
        <f t="shared" ref="G2627:G2632" si="216">F2627/D2627</f>
        <v>0.78332757235004558</v>
      </c>
      <c r="H2627" s="87">
        <f t="shared" ref="H2627:H2632" si="217">F2627/E2627</f>
        <v>0.8236279821325615</v>
      </c>
      <c r="I2627" s="87">
        <f>F2627/F2632</f>
        <v>0.86127871843814796</v>
      </c>
      <c r="K2627" s="521"/>
      <c r="L2627" s="521"/>
      <c r="M2627" s="521"/>
      <c r="N2627" s="521"/>
      <c r="O2627" s="521"/>
      <c r="P2627" s="521"/>
      <c r="Q2627" s="521"/>
      <c r="R2627" s="521"/>
    </row>
    <row r="2628" spans="1:18" s="17" customFormat="1" ht="16.5" customHeight="1" x14ac:dyDescent="0.25">
      <c r="A2628" s="81">
        <v>130</v>
      </c>
      <c r="B2628" s="716" t="s">
        <v>185</v>
      </c>
      <c r="C2628" s="717"/>
      <c r="D2628" s="5">
        <f>D904</f>
        <v>7672.6</v>
      </c>
      <c r="E2628" s="266">
        <f>E904</f>
        <v>67284.62</v>
      </c>
      <c r="F2628" s="5">
        <f>F904</f>
        <v>17902.89</v>
      </c>
      <c r="G2628" s="86">
        <f t="shared" si="216"/>
        <v>2.3333537523134269</v>
      </c>
      <c r="H2628" s="87">
        <f t="shared" si="217"/>
        <v>0.26607700244127114</v>
      </c>
      <c r="I2628" s="87">
        <f>F2628/F2632</f>
        <v>5.947856371319735E-3</v>
      </c>
      <c r="K2628" s="521"/>
      <c r="L2628" s="521"/>
      <c r="M2628" s="521"/>
      <c r="N2628" s="521"/>
      <c r="O2628" s="521"/>
      <c r="P2628" s="521"/>
      <c r="Q2628" s="521"/>
      <c r="R2628" s="521"/>
    </row>
    <row r="2629" spans="1:18" s="17" customFormat="1" ht="16.5" customHeight="1" x14ac:dyDescent="0.25">
      <c r="A2629" s="81">
        <v>132</v>
      </c>
      <c r="B2629" s="716" t="s">
        <v>186</v>
      </c>
      <c r="C2629" s="717"/>
      <c r="D2629" s="5">
        <v>0</v>
      </c>
      <c r="E2629" s="276">
        <v>0</v>
      </c>
      <c r="F2629" s="5">
        <v>0</v>
      </c>
      <c r="G2629" s="86" t="e">
        <f t="shared" si="216"/>
        <v>#DIV/0!</v>
      </c>
      <c r="H2629" s="87" t="e">
        <f t="shared" si="217"/>
        <v>#DIV/0!</v>
      </c>
      <c r="I2629" s="87">
        <f>F2629/F2632</f>
        <v>0</v>
      </c>
      <c r="K2629" s="521"/>
      <c r="L2629" s="521"/>
      <c r="M2629" s="521"/>
      <c r="N2629" s="521"/>
      <c r="O2629" s="521"/>
      <c r="P2629" s="521"/>
      <c r="Q2629" s="521"/>
      <c r="R2629" s="521"/>
    </row>
    <row r="2630" spans="1:18" s="17" customFormat="1" ht="16.5" customHeight="1" x14ac:dyDescent="0.25">
      <c r="A2630" s="81">
        <v>200</v>
      </c>
      <c r="B2630" s="716" t="s">
        <v>187</v>
      </c>
      <c r="C2630" s="717"/>
      <c r="D2630" s="5">
        <v>0</v>
      </c>
      <c r="E2630" s="156">
        <v>0</v>
      </c>
      <c r="F2630" s="5">
        <v>0</v>
      </c>
      <c r="G2630" s="86" t="e">
        <f t="shared" si="216"/>
        <v>#DIV/0!</v>
      </c>
      <c r="H2630" s="87" t="e">
        <f t="shared" si="217"/>
        <v>#DIV/0!</v>
      </c>
      <c r="I2630" s="87">
        <f>F2630/F2632</f>
        <v>0</v>
      </c>
      <c r="K2630" s="521"/>
      <c r="L2630" s="521"/>
      <c r="M2630" s="521"/>
      <c r="N2630" s="521"/>
      <c r="O2630" s="521"/>
      <c r="P2630" s="521"/>
      <c r="Q2630" s="521"/>
      <c r="R2630" s="521"/>
    </row>
    <row r="2631" spans="1:18" s="17" customFormat="1" ht="16.5" customHeight="1" x14ac:dyDescent="0.25">
      <c r="A2631" s="81">
        <v>300</v>
      </c>
      <c r="B2631" s="716" t="s">
        <v>188</v>
      </c>
      <c r="C2631" s="717"/>
      <c r="D2631" s="5">
        <f>D1280</f>
        <v>0</v>
      </c>
      <c r="E2631" s="5">
        <f>E1280</f>
        <v>536680</v>
      </c>
      <c r="F2631" s="5">
        <f>F1280</f>
        <v>399644.49</v>
      </c>
      <c r="G2631" s="86" t="e">
        <f t="shared" si="216"/>
        <v>#DIV/0!</v>
      </c>
      <c r="H2631" s="87">
        <f t="shared" si="217"/>
        <v>0.74466067302675709</v>
      </c>
      <c r="I2631" s="87">
        <f>F2631/F2632</f>
        <v>0.13277342519053215</v>
      </c>
      <c r="K2631" s="521"/>
      <c r="L2631" s="521"/>
      <c r="M2631" s="521"/>
      <c r="N2631" s="521"/>
      <c r="O2631" s="521"/>
      <c r="P2631" s="521"/>
      <c r="Q2631" s="521"/>
      <c r="R2631" s="521"/>
    </row>
    <row r="2632" spans="1:18" s="17" customFormat="1" ht="16.5" customHeight="1" x14ac:dyDescent="0.25">
      <c r="A2632" s="146"/>
      <c r="B2632" s="509" t="s">
        <v>84</v>
      </c>
      <c r="C2632" s="510"/>
      <c r="D2632" s="466">
        <f>D2627+D2628+D2629+D2630+D2631</f>
        <v>3317177.08</v>
      </c>
      <c r="E2632" s="466">
        <f>E2627+E2628+E2629+E2630+E2631</f>
        <v>3751533.87</v>
      </c>
      <c r="F2632" s="383">
        <f>F2627+F2628+F2629+F2630+F2631</f>
        <v>3009973.49</v>
      </c>
      <c r="G2632" s="169">
        <f t="shared" si="216"/>
        <v>0.90739005407573847</v>
      </c>
      <c r="H2632" s="137">
        <f t="shared" si="217"/>
        <v>0.80233141810872155</v>
      </c>
      <c r="I2632" s="137">
        <f>SUM(I2627:I2631)</f>
        <v>0.99999999999999989</v>
      </c>
      <c r="K2632" s="521"/>
      <c r="L2632" s="521"/>
      <c r="M2632" s="521"/>
      <c r="N2632" s="521"/>
      <c r="O2632" s="521"/>
      <c r="P2632" s="521"/>
      <c r="Q2632" s="521"/>
      <c r="R2632" s="521"/>
    </row>
    <row r="2633" spans="1:18" s="17" customFormat="1" ht="16.5" customHeight="1" x14ac:dyDescent="0.25">
      <c r="A2633" s="538"/>
      <c r="B2633" s="538"/>
      <c r="C2633" s="550"/>
      <c r="D2633" s="538"/>
      <c r="E2633" s="538"/>
      <c r="F2633" s="538"/>
      <c r="G2633" s="537"/>
      <c r="H2633" s="541"/>
      <c r="I2633" s="279"/>
      <c r="K2633" s="521"/>
      <c r="L2633" s="521"/>
      <c r="M2633" s="521"/>
      <c r="N2633" s="521"/>
      <c r="O2633" s="521"/>
      <c r="P2633" s="521"/>
      <c r="Q2633" s="521"/>
      <c r="R2633" s="521"/>
    </row>
    <row r="2634" spans="1:18" s="17" customFormat="1" ht="16.5" customHeight="1" x14ac:dyDescent="0.25">
      <c r="A2634" s="538"/>
      <c r="B2634" s="538"/>
      <c r="C2634" s="550"/>
      <c r="D2634" s="538"/>
      <c r="E2634" s="538"/>
      <c r="F2634" s="538"/>
      <c r="G2634" s="537"/>
      <c r="H2634" s="541"/>
      <c r="I2634" s="279"/>
      <c r="K2634" s="521"/>
      <c r="L2634" s="521"/>
      <c r="M2634" s="521"/>
      <c r="N2634" s="521"/>
      <c r="O2634" s="521"/>
      <c r="P2634" s="521"/>
      <c r="Q2634" s="521"/>
      <c r="R2634" s="521"/>
    </row>
    <row r="2635" spans="1:18" s="17" customFormat="1" ht="16.5" customHeight="1" x14ac:dyDescent="0.25">
      <c r="A2635" s="527"/>
      <c r="B2635" s="715" t="s">
        <v>1026</v>
      </c>
      <c r="C2635" s="715"/>
      <c r="D2635" s="715"/>
      <c r="E2635" s="715"/>
      <c r="F2635" s="715"/>
      <c r="G2635" s="715"/>
      <c r="H2635" s="715"/>
      <c r="I2635" s="715"/>
      <c r="K2635" s="521"/>
      <c r="L2635" s="521"/>
      <c r="M2635" s="521"/>
      <c r="N2635" s="521"/>
      <c r="O2635" s="521"/>
      <c r="P2635" s="521"/>
      <c r="Q2635" s="521"/>
      <c r="R2635" s="521"/>
    </row>
    <row r="2636" spans="1:18" s="17" customFormat="1" ht="16.5" customHeight="1" x14ac:dyDescent="0.25">
      <c r="A2636" s="715" t="s">
        <v>1027</v>
      </c>
      <c r="B2636" s="715"/>
      <c r="C2636" s="715"/>
      <c r="D2636" s="715"/>
      <c r="E2636" s="715"/>
      <c r="F2636" s="715"/>
      <c r="G2636" s="715"/>
      <c r="H2636" s="715"/>
      <c r="I2636" s="715"/>
      <c r="K2636" s="521"/>
      <c r="L2636" s="521"/>
      <c r="M2636" s="521"/>
      <c r="N2636" s="521"/>
      <c r="O2636" s="521"/>
      <c r="P2636" s="521"/>
      <c r="Q2636" s="521"/>
      <c r="R2636" s="521"/>
    </row>
    <row r="2637" spans="1:18" s="17" customFormat="1" ht="16.5" customHeight="1" x14ac:dyDescent="0.25">
      <c r="A2637" s="586" t="s">
        <v>1028</v>
      </c>
      <c r="B2637" s="586"/>
      <c r="C2637" s="586"/>
      <c r="D2637" s="586"/>
      <c r="E2637" s="586"/>
      <c r="F2637" s="586"/>
      <c r="G2637" s="586"/>
      <c r="H2637" s="586"/>
      <c r="I2637" s="586"/>
      <c r="K2637" s="521"/>
      <c r="L2637" s="521"/>
      <c r="M2637" s="521"/>
      <c r="N2637" s="521"/>
      <c r="O2637" s="521"/>
      <c r="P2637" s="521"/>
      <c r="Q2637" s="521"/>
      <c r="R2637" s="521"/>
    </row>
    <row r="2638" spans="1:18" s="17" customFormat="1" ht="16.5" customHeight="1" x14ac:dyDescent="0.25">
      <c r="A2638" s="714" t="s">
        <v>1029</v>
      </c>
      <c r="B2638" s="714"/>
      <c r="C2638" s="714"/>
      <c r="D2638" s="714"/>
      <c r="E2638" s="714"/>
      <c r="F2638" s="714"/>
      <c r="G2638" s="714"/>
      <c r="H2638" s="714"/>
      <c r="I2638" s="714"/>
      <c r="K2638" s="521"/>
      <c r="L2638" s="521"/>
      <c r="M2638" s="521"/>
      <c r="N2638" s="521"/>
      <c r="O2638" s="521"/>
      <c r="P2638" s="521"/>
      <c r="Q2638" s="521"/>
      <c r="R2638" s="521"/>
    </row>
    <row r="2639" spans="1:18" s="17" customFormat="1" ht="16.5" customHeight="1" x14ac:dyDescent="0.25">
      <c r="A2639" s="714" t="s">
        <v>1030</v>
      </c>
      <c r="B2639" s="714"/>
      <c r="C2639" s="714"/>
      <c r="D2639" s="714"/>
      <c r="E2639" s="714"/>
      <c r="F2639" s="714"/>
      <c r="G2639" s="714"/>
      <c r="H2639" s="714"/>
      <c r="I2639" s="714"/>
      <c r="K2639" s="521"/>
      <c r="L2639" s="521"/>
      <c r="M2639" s="521"/>
      <c r="N2639" s="521"/>
      <c r="O2639" s="521"/>
      <c r="P2639" s="521"/>
      <c r="Q2639" s="521"/>
      <c r="R2639" s="521"/>
    </row>
    <row r="2640" spans="1:18" s="17" customFormat="1" ht="16.5" customHeight="1" x14ac:dyDescent="0.25">
      <c r="A2640" s="714" t="s">
        <v>1031</v>
      </c>
      <c r="B2640" s="714"/>
      <c r="C2640" s="714"/>
      <c r="D2640" s="714"/>
      <c r="E2640" s="714"/>
      <c r="F2640" s="714"/>
      <c r="G2640" s="714"/>
      <c r="H2640" s="714"/>
      <c r="I2640" s="714"/>
      <c r="K2640" s="521"/>
      <c r="L2640" s="521"/>
      <c r="M2640" s="521"/>
      <c r="N2640" s="521"/>
      <c r="O2640" s="521"/>
      <c r="P2640" s="521"/>
      <c r="Q2640" s="521"/>
      <c r="R2640" s="521"/>
    </row>
    <row r="2641" spans="1:18" s="17" customFormat="1" ht="16.5" customHeight="1" x14ac:dyDescent="0.25">
      <c r="A2641" s="714" t="s">
        <v>1032</v>
      </c>
      <c r="B2641" s="714"/>
      <c r="C2641" s="714"/>
      <c r="D2641" s="714"/>
      <c r="E2641" s="714"/>
      <c r="F2641" s="714"/>
      <c r="G2641" s="714"/>
      <c r="H2641" s="714"/>
      <c r="I2641" s="714"/>
      <c r="K2641" s="521"/>
      <c r="L2641" s="521"/>
      <c r="M2641" s="521"/>
      <c r="N2641" s="521"/>
      <c r="O2641" s="521"/>
      <c r="P2641" s="521"/>
      <c r="Q2641" s="521"/>
      <c r="R2641" s="521"/>
    </row>
    <row r="2642" spans="1:18" s="17" customFormat="1" ht="16.5" customHeight="1" x14ac:dyDescent="0.25">
      <c r="A2642" s="714" t="s">
        <v>1033</v>
      </c>
      <c r="B2642" s="714"/>
      <c r="C2642" s="714"/>
      <c r="D2642" s="714"/>
      <c r="E2642" s="714"/>
      <c r="F2642" s="714"/>
      <c r="G2642" s="714"/>
      <c r="H2642" s="714"/>
      <c r="I2642" s="714"/>
      <c r="K2642" s="521"/>
      <c r="L2642" s="521"/>
      <c r="M2642" s="521"/>
      <c r="N2642" s="521"/>
      <c r="O2642" s="521"/>
      <c r="P2642" s="521"/>
      <c r="Q2642" s="521"/>
      <c r="R2642" s="521"/>
    </row>
    <row r="2643" spans="1:18" s="17" customFormat="1" ht="16.5" customHeight="1" x14ac:dyDescent="0.25">
      <c r="A2643" s="523"/>
      <c r="B2643" s="523" t="s">
        <v>1034</v>
      </c>
      <c r="C2643" s="523"/>
      <c r="D2643" s="523"/>
      <c r="E2643" s="523"/>
      <c r="F2643" s="523"/>
      <c r="G2643" s="523"/>
      <c r="H2643" s="523"/>
      <c r="I2643" s="523"/>
      <c r="K2643" s="521"/>
      <c r="L2643" s="521"/>
      <c r="M2643" s="521"/>
      <c r="N2643" s="521"/>
      <c r="O2643" s="521"/>
      <c r="P2643" s="521"/>
      <c r="Q2643" s="521"/>
      <c r="R2643" s="521"/>
    </row>
    <row r="2644" spans="1:18" s="17" customFormat="1" ht="16.5" customHeight="1" x14ac:dyDescent="0.25">
      <c r="A2644" s="523"/>
      <c r="B2644" s="523"/>
      <c r="C2644" s="523"/>
      <c r="D2644" s="523"/>
      <c r="E2644" s="523"/>
      <c r="F2644" s="523"/>
      <c r="G2644" s="523"/>
      <c r="H2644" s="523"/>
      <c r="I2644" s="523"/>
      <c r="K2644" s="521"/>
      <c r="L2644" s="521"/>
      <c r="M2644" s="521"/>
      <c r="N2644" s="521"/>
      <c r="O2644" s="521"/>
      <c r="P2644" s="521"/>
      <c r="Q2644" s="521"/>
      <c r="R2644" s="521"/>
    </row>
    <row r="2645" spans="1:18" s="17" customFormat="1" ht="16.5" customHeight="1" x14ac:dyDescent="0.25">
      <c r="A2645" s="523"/>
      <c r="B2645" s="523"/>
      <c r="C2645" s="523"/>
      <c r="D2645" s="523"/>
      <c r="E2645" s="523"/>
      <c r="F2645" s="523"/>
      <c r="G2645" s="523"/>
      <c r="H2645" s="523"/>
      <c r="I2645" s="523"/>
      <c r="K2645" s="521"/>
      <c r="L2645" s="521"/>
      <c r="M2645" s="521"/>
      <c r="N2645" s="521"/>
      <c r="O2645" s="521"/>
      <c r="P2645" s="521"/>
      <c r="Q2645" s="521"/>
      <c r="R2645" s="521"/>
    </row>
    <row r="2646" spans="1:18" s="17" customFormat="1" ht="16.5" customHeight="1" x14ac:dyDescent="0.25">
      <c r="A2646" s="523"/>
      <c r="B2646" s="523"/>
      <c r="C2646" s="523"/>
      <c r="D2646" s="523"/>
      <c r="E2646" s="523"/>
      <c r="F2646" s="523"/>
      <c r="G2646" s="523"/>
      <c r="H2646" s="523"/>
      <c r="I2646" s="523"/>
      <c r="K2646" s="521"/>
      <c r="L2646" s="521"/>
      <c r="M2646" s="521"/>
      <c r="N2646" s="521"/>
      <c r="O2646" s="521"/>
      <c r="P2646" s="521"/>
      <c r="Q2646" s="521"/>
      <c r="R2646" s="521"/>
    </row>
    <row r="2647" spans="1:18" s="17" customFormat="1" ht="16.5" customHeight="1" x14ac:dyDescent="0.25">
      <c r="A2647" s="523"/>
      <c r="B2647" s="523"/>
      <c r="C2647" s="523"/>
      <c r="D2647" s="523"/>
      <c r="E2647" s="523"/>
      <c r="F2647" s="523"/>
      <c r="G2647" s="523"/>
      <c r="H2647" s="523"/>
      <c r="I2647" s="523"/>
      <c r="K2647" s="521"/>
      <c r="L2647" s="521"/>
      <c r="M2647" s="521"/>
      <c r="N2647" s="521"/>
      <c r="O2647" s="521"/>
      <c r="P2647" s="521"/>
      <c r="Q2647" s="521"/>
      <c r="R2647" s="521"/>
    </row>
    <row r="2648" spans="1:18" s="17" customFormat="1" ht="16.5" customHeight="1" x14ac:dyDescent="0.25">
      <c r="A2648" s="523"/>
      <c r="B2648" s="523"/>
      <c r="C2648" s="523"/>
      <c r="D2648" s="523"/>
      <c r="E2648" s="523"/>
      <c r="F2648" s="523"/>
      <c r="G2648" s="523"/>
      <c r="H2648" s="523"/>
      <c r="I2648" s="523"/>
      <c r="K2648" s="521"/>
      <c r="L2648" s="521"/>
      <c r="M2648" s="521"/>
      <c r="N2648" s="521"/>
      <c r="O2648" s="521"/>
      <c r="P2648" s="521"/>
      <c r="Q2648" s="521"/>
      <c r="R2648" s="521"/>
    </row>
    <row r="2649" spans="1:18" x14ac:dyDescent="0.25">
      <c r="A2649" s="523"/>
      <c r="B2649" s="523"/>
      <c r="C2649" s="523"/>
      <c r="D2649" s="523"/>
      <c r="E2649" s="523"/>
      <c r="F2649" s="523"/>
      <c r="G2649" s="523"/>
      <c r="H2649" s="523"/>
      <c r="I2649" s="523"/>
    </row>
    <row r="2650" spans="1:18" x14ac:dyDescent="0.25">
      <c r="A2650" s="523"/>
      <c r="B2650" s="523"/>
      <c r="C2650" s="523"/>
      <c r="D2650" s="523"/>
      <c r="E2650" s="523"/>
      <c r="F2650" s="523"/>
      <c r="G2650" s="523"/>
      <c r="H2650" s="523"/>
      <c r="I2650" s="523"/>
    </row>
    <row r="2651" spans="1:18" ht="15" customHeight="1" x14ac:dyDescent="0.25">
      <c r="A2651" s="523"/>
      <c r="B2651" s="523"/>
      <c r="C2651" s="523"/>
      <c r="D2651" s="523"/>
      <c r="E2651" s="523"/>
      <c r="F2651" s="523"/>
      <c r="G2651" s="523"/>
      <c r="H2651" s="523"/>
      <c r="I2651" s="523"/>
    </row>
    <row r="2652" spans="1:18" ht="15" customHeight="1" x14ac:dyDescent="0.25">
      <c r="A2652" s="523"/>
      <c r="B2652" s="523"/>
      <c r="C2652" s="523"/>
      <c r="D2652" s="523"/>
      <c r="E2652" s="523"/>
      <c r="F2652" s="523"/>
      <c r="G2652" s="523"/>
      <c r="H2652" s="523"/>
      <c r="I2652" s="523"/>
    </row>
    <row r="2653" spans="1:18" ht="15" customHeight="1" x14ac:dyDescent="0.25">
      <c r="A2653" s="523"/>
      <c r="B2653" s="523"/>
      <c r="C2653" s="523"/>
      <c r="D2653" s="523"/>
      <c r="E2653" s="523"/>
      <c r="F2653" s="523"/>
      <c r="G2653" s="523"/>
      <c r="H2653" s="523"/>
      <c r="I2653" s="523"/>
    </row>
    <row r="2654" spans="1:18" ht="15" customHeight="1" x14ac:dyDescent="0.25">
      <c r="A2654" s="523"/>
      <c r="B2654" s="523"/>
      <c r="C2654" s="523"/>
      <c r="D2654" s="523"/>
      <c r="E2654" s="523"/>
      <c r="F2654" s="523"/>
      <c r="G2654" s="523"/>
      <c r="H2654" s="523"/>
      <c r="I2654" s="523"/>
    </row>
    <row r="2655" spans="1:18" ht="15" customHeight="1" x14ac:dyDescent="0.25">
      <c r="A2655" s="523"/>
      <c r="B2655" s="523"/>
      <c r="C2655" s="523"/>
      <c r="D2655" s="523"/>
      <c r="E2655" s="523"/>
      <c r="F2655" s="523"/>
      <c r="G2655" s="523"/>
      <c r="H2655" s="523"/>
      <c r="I2655" s="523"/>
    </row>
    <row r="2656" spans="1:18" ht="15" customHeight="1" x14ac:dyDescent="0.25">
      <c r="A2656" s="523"/>
      <c r="B2656" s="523"/>
      <c r="C2656" s="523"/>
      <c r="D2656" s="523"/>
      <c r="E2656" s="523"/>
      <c r="F2656" s="523"/>
      <c r="G2656" s="523"/>
      <c r="H2656" s="523"/>
      <c r="I2656" s="523"/>
    </row>
    <row r="2657" spans="1:9" ht="15" customHeight="1" x14ac:dyDescent="0.25">
      <c r="A2657" s="523"/>
      <c r="B2657" s="523"/>
      <c r="C2657" s="523"/>
      <c r="D2657" s="523"/>
      <c r="E2657" s="523"/>
      <c r="F2657" s="523"/>
      <c r="G2657" s="523"/>
      <c r="H2657" s="523"/>
      <c r="I2657" s="409">
        <v>44</v>
      </c>
    </row>
    <row r="2658" spans="1:9" ht="15" customHeight="1" x14ac:dyDescent="0.25"/>
    <row r="2659" spans="1:9" ht="15" customHeight="1" x14ac:dyDescent="0.25"/>
    <row r="2660" spans="1:9" ht="15" customHeight="1" x14ac:dyDescent="0.25"/>
    <row r="2661" spans="1:9" ht="15" customHeight="1" x14ac:dyDescent="0.25"/>
    <row r="2662" spans="1:9" ht="15" customHeight="1" x14ac:dyDescent="0.25"/>
    <row r="2663" spans="1:9" ht="15" customHeight="1" x14ac:dyDescent="0.25"/>
    <row r="2664" spans="1:9" ht="15" customHeight="1" x14ac:dyDescent="0.25"/>
    <row r="2665" spans="1:9" ht="15" customHeight="1" x14ac:dyDescent="0.25"/>
    <row r="2666" spans="1:9" ht="15" customHeight="1" x14ac:dyDescent="0.25"/>
    <row r="2667" spans="1:9" ht="15" customHeight="1" x14ac:dyDescent="0.25"/>
    <row r="2668" spans="1:9" ht="15" customHeight="1" x14ac:dyDescent="0.25"/>
    <row r="2669" spans="1:9" ht="15" customHeight="1" x14ac:dyDescent="0.25"/>
    <row r="2670" spans="1:9" ht="15" customHeight="1" x14ac:dyDescent="0.25"/>
    <row r="2671" spans="1:9" ht="15" customHeight="1" x14ac:dyDescent="0.25"/>
    <row r="2672" spans="1:9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.75" customHeight="1" x14ac:dyDescent="0.25"/>
    <row r="2694" ht="15" customHeight="1" x14ac:dyDescent="0.25"/>
    <row r="2695" ht="15" customHeight="1" x14ac:dyDescent="0.25"/>
    <row r="2696" ht="15" customHeight="1" x14ac:dyDescent="0.25"/>
  </sheetData>
  <mergeCells count="1524">
    <mergeCell ref="A2:I2"/>
    <mergeCell ref="A3:I3"/>
    <mergeCell ref="A4:I4"/>
    <mergeCell ref="A5:I5"/>
    <mergeCell ref="A6:H6"/>
    <mergeCell ref="A8:H8"/>
    <mergeCell ref="A132:I132"/>
    <mergeCell ref="A133:I133"/>
    <mergeCell ref="A135:I135"/>
    <mergeCell ref="A182:I182"/>
    <mergeCell ref="B184:I184"/>
    <mergeCell ref="A185:I185"/>
    <mergeCell ref="A125:I125"/>
    <mergeCell ref="B127:I127"/>
    <mergeCell ref="A128:I128"/>
    <mergeCell ref="A129:I129"/>
    <mergeCell ref="A130:I130"/>
    <mergeCell ref="A131:I131"/>
    <mergeCell ref="A11:H11"/>
    <mergeCell ref="A29:H29"/>
    <mergeCell ref="A30:H30"/>
    <mergeCell ref="A31:H31"/>
    <mergeCell ref="A50:H50"/>
    <mergeCell ref="B66:C66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A186:I186"/>
    <mergeCell ref="B188:C189"/>
    <mergeCell ref="G188:H188"/>
    <mergeCell ref="I188:I189"/>
    <mergeCell ref="B190:C190"/>
    <mergeCell ref="B191:C191"/>
    <mergeCell ref="B219:C219"/>
    <mergeCell ref="B220:C220"/>
    <mergeCell ref="B221:C221"/>
    <mergeCell ref="B222:C222"/>
    <mergeCell ref="B223:C223"/>
    <mergeCell ref="B224:C224"/>
    <mergeCell ref="B210:C210"/>
    <mergeCell ref="B211:C211"/>
    <mergeCell ref="B212:C212"/>
    <mergeCell ref="B213:C213"/>
    <mergeCell ref="B216:C216"/>
    <mergeCell ref="B218:C218"/>
    <mergeCell ref="B204:C204"/>
    <mergeCell ref="B205:C205"/>
    <mergeCell ref="B206:C206"/>
    <mergeCell ref="B207:C207"/>
    <mergeCell ref="B208:C208"/>
    <mergeCell ref="B209:C209"/>
    <mergeCell ref="B257:C257"/>
    <mergeCell ref="B258:C258"/>
    <mergeCell ref="B259:C259"/>
    <mergeCell ref="B254:C254"/>
    <mergeCell ref="B255:C255"/>
    <mergeCell ref="B256:C256"/>
    <mergeCell ref="B251:C251"/>
    <mergeCell ref="B252:C252"/>
    <mergeCell ref="B253:C253"/>
    <mergeCell ref="B248:C249"/>
    <mergeCell ref="G248:H248"/>
    <mergeCell ref="I248:I249"/>
    <mergeCell ref="B250:C250"/>
    <mergeCell ref="B226:I226"/>
    <mergeCell ref="A227:I227"/>
    <mergeCell ref="A242:I242"/>
    <mergeCell ref="B244:I244"/>
    <mergeCell ref="A245:I245"/>
    <mergeCell ref="D246:F247"/>
    <mergeCell ref="B276:C276"/>
    <mergeCell ref="B277:C277"/>
    <mergeCell ref="B278:C278"/>
    <mergeCell ref="B272:C272"/>
    <mergeCell ref="B273:C273"/>
    <mergeCell ref="B274:C274"/>
    <mergeCell ref="B275:C275"/>
    <mergeCell ref="B269:C269"/>
    <mergeCell ref="B270:C270"/>
    <mergeCell ref="B271:C271"/>
    <mergeCell ref="B266:C266"/>
    <mergeCell ref="B267:C267"/>
    <mergeCell ref="B268:C268"/>
    <mergeCell ref="B263:C263"/>
    <mergeCell ref="B264:C264"/>
    <mergeCell ref="B265:C265"/>
    <mergeCell ref="B260:C260"/>
    <mergeCell ref="B261:C261"/>
    <mergeCell ref="B262:C262"/>
    <mergeCell ref="B299:C299"/>
    <mergeCell ref="B300:C300"/>
    <mergeCell ref="B301:C301"/>
    <mergeCell ref="B298:C298"/>
    <mergeCell ref="B290:C290"/>
    <mergeCell ref="B291:C291"/>
    <mergeCell ref="B292:C292"/>
    <mergeCell ref="B293:C293"/>
    <mergeCell ref="B285:C285"/>
    <mergeCell ref="B286:C286"/>
    <mergeCell ref="B287:C287"/>
    <mergeCell ref="B288:C288"/>
    <mergeCell ref="B282:C282"/>
    <mergeCell ref="B283:C283"/>
    <mergeCell ref="B284:C284"/>
    <mergeCell ref="B279:C279"/>
    <mergeCell ref="B280:C280"/>
    <mergeCell ref="B281:C281"/>
    <mergeCell ref="B318:C318"/>
    <mergeCell ref="B319:C319"/>
    <mergeCell ref="B322:C322"/>
    <mergeCell ref="B313:C313"/>
    <mergeCell ref="B316:C316"/>
    <mergeCell ref="B317:C317"/>
    <mergeCell ref="B309:C309"/>
    <mergeCell ref="B310:C310"/>
    <mergeCell ref="B311:C311"/>
    <mergeCell ref="B312:C312"/>
    <mergeCell ref="B306:C306"/>
    <mergeCell ref="B307:C307"/>
    <mergeCell ref="B308:C308"/>
    <mergeCell ref="B302:C302"/>
    <mergeCell ref="B303:C303"/>
    <mergeCell ref="B304:C304"/>
    <mergeCell ref="B305:C305"/>
    <mergeCell ref="B339:C339"/>
    <mergeCell ref="B340:C340"/>
    <mergeCell ref="B341:C341"/>
    <mergeCell ref="B336:C336"/>
    <mergeCell ref="B337:C337"/>
    <mergeCell ref="B338:C338"/>
    <mergeCell ref="B333:C333"/>
    <mergeCell ref="B334:C334"/>
    <mergeCell ref="B335:C335"/>
    <mergeCell ref="B330:C330"/>
    <mergeCell ref="B331:C331"/>
    <mergeCell ref="B332:C332"/>
    <mergeCell ref="B327:C327"/>
    <mergeCell ref="B328:C328"/>
    <mergeCell ref="B329:C329"/>
    <mergeCell ref="B323:C323"/>
    <mergeCell ref="B324:C324"/>
    <mergeCell ref="B325:C325"/>
    <mergeCell ref="B365:C365"/>
    <mergeCell ref="B366:C366"/>
    <mergeCell ref="B367:C367"/>
    <mergeCell ref="B368:C368"/>
    <mergeCell ref="B349:C349"/>
    <mergeCell ref="B350:C350"/>
    <mergeCell ref="B351:C351"/>
    <mergeCell ref="B352:C352"/>
    <mergeCell ref="B353:C353"/>
    <mergeCell ref="B364:C364"/>
    <mergeCell ref="B345:C345"/>
    <mergeCell ref="B346:C346"/>
    <mergeCell ref="B347:C347"/>
    <mergeCell ref="B348:C348"/>
    <mergeCell ref="B342:C342"/>
    <mergeCell ref="B343:C343"/>
    <mergeCell ref="B344:C344"/>
    <mergeCell ref="A390:I390"/>
    <mergeCell ref="A391:I391"/>
    <mergeCell ref="A392:I392"/>
    <mergeCell ref="A393:I393"/>
    <mergeCell ref="A417:I417"/>
    <mergeCell ref="A419:I419"/>
    <mergeCell ref="A378:I378"/>
    <mergeCell ref="B381:I381"/>
    <mergeCell ref="B382:I382"/>
    <mergeCell ref="B384:I384"/>
    <mergeCell ref="B387:I387"/>
    <mergeCell ref="A388:I388"/>
    <mergeCell ref="B369:C369"/>
    <mergeCell ref="B370:C370"/>
    <mergeCell ref="B371:C371"/>
    <mergeCell ref="B372:C372"/>
    <mergeCell ref="A375:I375"/>
    <mergeCell ref="A376:I376"/>
    <mergeCell ref="B430:C430"/>
    <mergeCell ref="H430:I430"/>
    <mergeCell ref="B431:C431"/>
    <mergeCell ref="H431:I431"/>
    <mergeCell ref="B428:C428"/>
    <mergeCell ref="H428:I428"/>
    <mergeCell ref="B429:C429"/>
    <mergeCell ref="H429:I429"/>
    <mergeCell ref="B426:C426"/>
    <mergeCell ref="H426:I426"/>
    <mergeCell ref="B427:C427"/>
    <mergeCell ref="H427:I427"/>
    <mergeCell ref="B425:C425"/>
    <mergeCell ref="H425:I425"/>
    <mergeCell ref="A420:I420"/>
    <mergeCell ref="D421:F421"/>
    <mergeCell ref="A423:A424"/>
    <mergeCell ref="B423:C424"/>
    <mergeCell ref="F423:F424"/>
    <mergeCell ref="G423:G424"/>
    <mergeCell ref="H423:I424"/>
    <mergeCell ref="B444:G444"/>
    <mergeCell ref="B451:C451"/>
    <mergeCell ref="B439:I439"/>
    <mergeCell ref="K439:R439"/>
    <mergeCell ref="B440:I440"/>
    <mergeCell ref="K440:R440"/>
    <mergeCell ref="B441:I441"/>
    <mergeCell ref="K441:R441"/>
    <mergeCell ref="B436:I436"/>
    <mergeCell ref="K436:R436"/>
    <mergeCell ref="B437:I437"/>
    <mergeCell ref="K437:R437"/>
    <mergeCell ref="B438:I438"/>
    <mergeCell ref="K438:R438"/>
    <mergeCell ref="B432:C432"/>
    <mergeCell ref="H432:I432"/>
    <mergeCell ref="B434:I434"/>
    <mergeCell ref="K434:R434"/>
    <mergeCell ref="B435:I435"/>
    <mergeCell ref="K435:R435"/>
    <mergeCell ref="B486:C486"/>
    <mergeCell ref="B488:I488"/>
    <mergeCell ref="A490:I490"/>
    <mergeCell ref="D493:F493"/>
    <mergeCell ref="B495:C496"/>
    <mergeCell ref="G495:H495"/>
    <mergeCell ref="I495:I496"/>
    <mergeCell ref="B483:C483"/>
    <mergeCell ref="B484:C484"/>
    <mergeCell ref="B485:C485"/>
    <mergeCell ref="B480:C480"/>
    <mergeCell ref="B481:C481"/>
    <mergeCell ref="B482:C482"/>
    <mergeCell ref="B460:I460"/>
    <mergeCell ref="A461:I461"/>
    <mergeCell ref="A462:I462"/>
    <mergeCell ref="D475:F475"/>
    <mergeCell ref="A477:A478"/>
    <mergeCell ref="B477:C478"/>
    <mergeCell ref="G477:H477"/>
    <mergeCell ref="B509:C509"/>
    <mergeCell ref="B510:C510"/>
    <mergeCell ref="B511:C511"/>
    <mergeCell ref="B512:C512"/>
    <mergeCell ref="B513:C513"/>
    <mergeCell ref="B514:C514"/>
    <mergeCell ref="B503:C503"/>
    <mergeCell ref="B504:C504"/>
    <mergeCell ref="B505:C505"/>
    <mergeCell ref="B506:C506"/>
    <mergeCell ref="B507:C507"/>
    <mergeCell ref="B508:C508"/>
    <mergeCell ref="B497:C497"/>
    <mergeCell ref="B498:C498"/>
    <mergeCell ref="B499:C499"/>
    <mergeCell ref="B500:C500"/>
    <mergeCell ref="B501:C501"/>
    <mergeCell ref="B502:C502"/>
    <mergeCell ref="B537:C537"/>
    <mergeCell ref="B538:C538"/>
    <mergeCell ref="A541:I541"/>
    <mergeCell ref="D545:F545"/>
    <mergeCell ref="B547:C548"/>
    <mergeCell ref="G547:H547"/>
    <mergeCell ref="B522:C522"/>
    <mergeCell ref="B524:C524"/>
    <mergeCell ref="B534:C534"/>
    <mergeCell ref="B535:C535"/>
    <mergeCell ref="B536:C536"/>
    <mergeCell ref="B515:C515"/>
    <mergeCell ref="B516:C516"/>
    <mergeCell ref="B517:C517"/>
    <mergeCell ref="B518:C518"/>
    <mergeCell ref="B519:C519"/>
    <mergeCell ref="B520:C520"/>
    <mergeCell ref="A566:I566"/>
    <mergeCell ref="A567:I567"/>
    <mergeCell ref="A568:I568"/>
    <mergeCell ref="A569:I569"/>
    <mergeCell ref="A570:I570"/>
    <mergeCell ref="A571:I571"/>
    <mergeCell ref="A560:I560"/>
    <mergeCell ref="A561:I561"/>
    <mergeCell ref="A562:I562"/>
    <mergeCell ref="A563:I563"/>
    <mergeCell ref="A564:I564"/>
    <mergeCell ref="A565:I565"/>
    <mergeCell ref="B553:C553"/>
    <mergeCell ref="B554:C554"/>
    <mergeCell ref="B556:C556"/>
    <mergeCell ref="B550:C550"/>
    <mergeCell ref="B551:C551"/>
    <mergeCell ref="B552:C552"/>
    <mergeCell ref="B611:C611"/>
    <mergeCell ref="B612:C612"/>
    <mergeCell ref="B613:C613"/>
    <mergeCell ref="A616:I616"/>
    <mergeCell ref="B608:C608"/>
    <mergeCell ref="B609:C609"/>
    <mergeCell ref="B610:C610"/>
    <mergeCell ref="B606:C606"/>
    <mergeCell ref="B607:C607"/>
    <mergeCell ref="B597:D597"/>
    <mergeCell ref="A599:I599"/>
    <mergeCell ref="A600:I600"/>
    <mergeCell ref="D602:F602"/>
    <mergeCell ref="A604:A605"/>
    <mergeCell ref="B604:C605"/>
    <mergeCell ref="G604:H604"/>
    <mergeCell ref="I604:I605"/>
    <mergeCell ref="B633:C633"/>
    <mergeCell ref="B640:C640"/>
    <mergeCell ref="A642:I642"/>
    <mergeCell ref="A643:I643"/>
    <mergeCell ref="A646:I646"/>
    <mergeCell ref="A647:I647"/>
    <mergeCell ref="B626:C626"/>
    <mergeCell ref="B627:C627"/>
    <mergeCell ref="B628:C628"/>
    <mergeCell ref="B629:C629"/>
    <mergeCell ref="B631:C631"/>
    <mergeCell ref="B632:C632"/>
    <mergeCell ref="D620:F620"/>
    <mergeCell ref="B622:C623"/>
    <mergeCell ref="G622:H622"/>
    <mergeCell ref="I622:I623"/>
    <mergeCell ref="B624:C624"/>
    <mergeCell ref="B625:C625"/>
    <mergeCell ref="B665:C665"/>
    <mergeCell ref="B666:C666"/>
    <mergeCell ref="B667:C667"/>
    <mergeCell ref="B668:C668"/>
    <mergeCell ref="B669:C669"/>
    <mergeCell ref="B670:C670"/>
    <mergeCell ref="B659:C659"/>
    <mergeCell ref="B660:C660"/>
    <mergeCell ref="B661:C661"/>
    <mergeCell ref="B662:C662"/>
    <mergeCell ref="B663:C663"/>
    <mergeCell ref="B664:C664"/>
    <mergeCell ref="D653:F653"/>
    <mergeCell ref="B655:C656"/>
    <mergeCell ref="G655:H655"/>
    <mergeCell ref="I655:I656"/>
    <mergeCell ref="B657:C657"/>
    <mergeCell ref="B658:C658"/>
    <mergeCell ref="B685:C685"/>
    <mergeCell ref="B686:C686"/>
    <mergeCell ref="B687:C687"/>
    <mergeCell ref="B688:C688"/>
    <mergeCell ref="B689:C689"/>
    <mergeCell ref="B692:I692"/>
    <mergeCell ref="B677:C677"/>
    <mergeCell ref="B678:C678"/>
    <mergeCell ref="B679:C679"/>
    <mergeCell ref="B680:C680"/>
    <mergeCell ref="B682:C682"/>
    <mergeCell ref="B684:C684"/>
    <mergeCell ref="B671:C671"/>
    <mergeCell ref="B672:C672"/>
    <mergeCell ref="B673:C673"/>
    <mergeCell ref="B674:C674"/>
    <mergeCell ref="B675:C675"/>
    <mergeCell ref="B676:C676"/>
    <mergeCell ref="I736:I737"/>
    <mergeCell ref="B738:C738"/>
    <mergeCell ref="A729:I729"/>
    <mergeCell ref="A730:I730"/>
    <mergeCell ref="A731:I731"/>
    <mergeCell ref="A732:I732"/>
    <mergeCell ref="A733:I733"/>
    <mergeCell ref="E734:E735"/>
    <mergeCell ref="B725:C725"/>
    <mergeCell ref="B726:C726"/>
    <mergeCell ref="B727:C727"/>
    <mergeCell ref="B722:C722"/>
    <mergeCell ref="B723:C723"/>
    <mergeCell ref="B724:C724"/>
    <mergeCell ref="B720:C720"/>
    <mergeCell ref="B721:C721"/>
    <mergeCell ref="A713:I713"/>
    <mergeCell ref="A715:I715"/>
    <mergeCell ref="E716:E717"/>
    <mergeCell ref="A718:A719"/>
    <mergeCell ref="B718:C719"/>
    <mergeCell ref="G718:H718"/>
    <mergeCell ref="B753:C753"/>
    <mergeCell ref="B754:C754"/>
    <mergeCell ref="B755:C755"/>
    <mergeCell ref="B750:C750"/>
    <mergeCell ref="B751:C751"/>
    <mergeCell ref="B752:C752"/>
    <mergeCell ref="B747:C747"/>
    <mergeCell ref="B748:C748"/>
    <mergeCell ref="B749:C749"/>
    <mergeCell ref="B744:C744"/>
    <mergeCell ref="B745:C745"/>
    <mergeCell ref="B746:C746"/>
    <mergeCell ref="B739:C739"/>
    <mergeCell ref="B740:C740"/>
    <mergeCell ref="B743:C743"/>
    <mergeCell ref="B736:C737"/>
    <mergeCell ref="G736:H736"/>
    <mergeCell ref="B774:C774"/>
    <mergeCell ref="B775:C775"/>
    <mergeCell ref="B777:C777"/>
    <mergeCell ref="B771:C771"/>
    <mergeCell ref="B772:C772"/>
    <mergeCell ref="B773:C773"/>
    <mergeCell ref="B768:C768"/>
    <mergeCell ref="B769:C769"/>
    <mergeCell ref="B770:C770"/>
    <mergeCell ref="B765:C765"/>
    <mergeCell ref="B766:C766"/>
    <mergeCell ref="B767:C767"/>
    <mergeCell ref="B762:C762"/>
    <mergeCell ref="B764:C764"/>
    <mergeCell ref="B756:C756"/>
    <mergeCell ref="B760:C760"/>
    <mergeCell ref="B761:C761"/>
    <mergeCell ref="B757:C757"/>
    <mergeCell ref="B793:C793"/>
    <mergeCell ref="B794:C794"/>
    <mergeCell ref="B795:C795"/>
    <mergeCell ref="B790:C790"/>
    <mergeCell ref="B791:C791"/>
    <mergeCell ref="B792:C792"/>
    <mergeCell ref="B787:C787"/>
    <mergeCell ref="B788:C788"/>
    <mergeCell ref="B789:C789"/>
    <mergeCell ref="B784:C784"/>
    <mergeCell ref="B785:C785"/>
    <mergeCell ref="B786:C786"/>
    <mergeCell ref="B781:C781"/>
    <mergeCell ref="B782:C782"/>
    <mergeCell ref="B783:C783"/>
    <mergeCell ref="B778:C778"/>
    <mergeCell ref="B779:C779"/>
    <mergeCell ref="B780:C780"/>
    <mergeCell ref="B817:C817"/>
    <mergeCell ref="B818:C818"/>
    <mergeCell ref="B819:C819"/>
    <mergeCell ref="B816:C816"/>
    <mergeCell ref="B808:C808"/>
    <mergeCell ref="B809:C809"/>
    <mergeCell ref="B810:C810"/>
    <mergeCell ref="B805:C805"/>
    <mergeCell ref="B806:C806"/>
    <mergeCell ref="B807:C807"/>
    <mergeCell ref="B802:C802"/>
    <mergeCell ref="B803:C803"/>
    <mergeCell ref="B804:C804"/>
    <mergeCell ref="B799:C799"/>
    <mergeCell ref="B800:C800"/>
    <mergeCell ref="B801:C801"/>
    <mergeCell ref="B796:C796"/>
    <mergeCell ref="B797:C797"/>
    <mergeCell ref="B798:C798"/>
    <mergeCell ref="B834:C834"/>
    <mergeCell ref="B836:C836"/>
    <mergeCell ref="B837:C837"/>
    <mergeCell ref="B838:C838"/>
    <mergeCell ref="B839:C839"/>
    <mergeCell ref="B840:C840"/>
    <mergeCell ref="B830:C830"/>
    <mergeCell ref="B831:C831"/>
    <mergeCell ref="B832:C832"/>
    <mergeCell ref="B827:C827"/>
    <mergeCell ref="B828:C828"/>
    <mergeCell ref="B829:C829"/>
    <mergeCell ref="B824:C824"/>
    <mergeCell ref="B825:C825"/>
    <mergeCell ref="B826:C826"/>
    <mergeCell ref="B821:C821"/>
    <mergeCell ref="B822:C822"/>
    <mergeCell ref="B823:C823"/>
    <mergeCell ref="B873:C873"/>
    <mergeCell ref="B875:C875"/>
    <mergeCell ref="B876:C876"/>
    <mergeCell ref="B870:C870"/>
    <mergeCell ref="B871:C871"/>
    <mergeCell ref="B872:C872"/>
    <mergeCell ref="B867:C867"/>
    <mergeCell ref="B868:C868"/>
    <mergeCell ref="B869:C869"/>
    <mergeCell ref="B841:C841"/>
    <mergeCell ref="B843:I843"/>
    <mergeCell ref="A844:I844"/>
    <mergeCell ref="A862:I862"/>
    <mergeCell ref="E863:E864"/>
    <mergeCell ref="B865:C866"/>
    <mergeCell ref="G865:H865"/>
    <mergeCell ref="I865:I866"/>
    <mergeCell ref="B897:C897"/>
    <mergeCell ref="B899:C899"/>
    <mergeCell ref="B900:C900"/>
    <mergeCell ref="B892:C892"/>
    <mergeCell ref="B893:C893"/>
    <mergeCell ref="B894:C894"/>
    <mergeCell ref="B895:C895"/>
    <mergeCell ref="B891:C891"/>
    <mergeCell ref="B883:C883"/>
    <mergeCell ref="B884:C884"/>
    <mergeCell ref="B885:C885"/>
    <mergeCell ref="B880:C880"/>
    <mergeCell ref="B881:C881"/>
    <mergeCell ref="B882:C882"/>
    <mergeCell ref="B877:C877"/>
    <mergeCell ref="B878:C878"/>
    <mergeCell ref="B879:C879"/>
    <mergeCell ref="B957:C957"/>
    <mergeCell ref="A951:I951"/>
    <mergeCell ref="A952:I952"/>
    <mergeCell ref="E953:E954"/>
    <mergeCell ref="A955:A956"/>
    <mergeCell ref="B955:C956"/>
    <mergeCell ref="G955:H955"/>
    <mergeCell ref="I955:I956"/>
    <mergeCell ref="A908:I908"/>
    <mergeCell ref="A909:H909"/>
    <mergeCell ref="A910:H910"/>
    <mergeCell ref="A911:I911"/>
    <mergeCell ref="B948:D948"/>
    <mergeCell ref="A950:I950"/>
    <mergeCell ref="B901:C901"/>
    <mergeCell ref="B902:C902"/>
    <mergeCell ref="B903:C903"/>
    <mergeCell ref="B904:C904"/>
    <mergeCell ref="A906:I906"/>
    <mergeCell ref="A907:I907"/>
    <mergeCell ref="B974:C974"/>
    <mergeCell ref="B975:C975"/>
    <mergeCell ref="B976:C976"/>
    <mergeCell ref="B971:C971"/>
    <mergeCell ref="B972:C972"/>
    <mergeCell ref="B973:C973"/>
    <mergeCell ref="B968:C968"/>
    <mergeCell ref="B969:C969"/>
    <mergeCell ref="B970:C970"/>
    <mergeCell ref="B966:C967"/>
    <mergeCell ref="G966:H966"/>
    <mergeCell ref="I966:I967"/>
    <mergeCell ref="B961:C961"/>
    <mergeCell ref="B963:I963"/>
    <mergeCell ref="E964:E965"/>
    <mergeCell ref="B958:C958"/>
    <mergeCell ref="B959:C959"/>
    <mergeCell ref="B960:C960"/>
    <mergeCell ref="B997:C997"/>
    <mergeCell ref="B998:C998"/>
    <mergeCell ref="B999:C999"/>
    <mergeCell ref="B994:C994"/>
    <mergeCell ref="B995:C995"/>
    <mergeCell ref="B996:C996"/>
    <mergeCell ref="B991:C991"/>
    <mergeCell ref="B992:C992"/>
    <mergeCell ref="B993:C993"/>
    <mergeCell ref="B988:C988"/>
    <mergeCell ref="B989:C989"/>
    <mergeCell ref="B990:C990"/>
    <mergeCell ref="A979:I979"/>
    <mergeCell ref="A980:I980"/>
    <mergeCell ref="A981:I981"/>
    <mergeCell ref="B986:C987"/>
    <mergeCell ref="G986:H986"/>
    <mergeCell ref="I986:I987"/>
    <mergeCell ref="B1017:C1017"/>
    <mergeCell ref="B1018:C1018"/>
    <mergeCell ref="B1019:C1019"/>
    <mergeCell ref="B1013:C1013"/>
    <mergeCell ref="B1015:C1015"/>
    <mergeCell ref="B1016:C1016"/>
    <mergeCell ref="B1009:C1009"/>
    <mergeCell ref="B1010:C1010"/>
    <mergeCell ref="B1011:C1011"/>
    <mergeCell ref="B1006:C1006"/>
    <mergeCell ref="B1007:C1007"/>
    <mergeCell ref="B1008:C1008"/>
    <mergeCell ref="B1003:C1003"/>
    <mergeCell ref="B1004:C1004"/>
    <mergeCell ref="B1005:C1005"/>
    <mergeCell ref="B1000:C1000"/>
    <mergeCell ref="B1001:C1001"/>
    <mergeCell ref="B1002:C1002"/>
    <mergeCell ref="B1077:C1077"/>
    <mergeCell ref="B1078:C1078"/>
    <mergeCell ref="B1079:C1079"/>
    <mergeCell ref="B1080:C1080"/>
    <mergeCell ref="B1081:C1081"/>
    <mergeCell ref="B1082:C1082"/>
    <mergeCell ref="B1027:I1027"/>
    <mergeCell ref="B1067:D1067"/>
    <mergeCell ref="A1070:I1070"/>
    <mergeCell ref="E1073:E1074"/>
    <mergeCell ref="A1075:A1076"/>
    <mergeCell ref="B1075:C1076"/>
    <mergeCell ref="G1075:H1075"/>
    <mergeCell ref="I1075:I1076"/>
    <mergeCell ref="B1020:C1020"/>
    <mergeCell ref="B1023:I1023"/>
    <mergeCell ref="B1024:I1024"/>
    <mergeCell ref="B1025:I1025"/>
    <mergeCell ref="B1026:I1026"/>
    <mergeCell ref="B1102:C1102"/>
    <mergeCell ref="B1105:C1105"/>
    <mergeCell ref="A1107:I1107"/>
    <mergeCell ref="A1108:I1108"/>
    <mergeCell ref="B1098:C1098"/>
    <mergeCell ref="B1099:C1099"/>
    <mergeCell ref="B1101:C1101"/>
    <mergeCell ref="B1093:C1093"/>
    <mergeCell ref="B1095:C1095"/>
    <mergeCell ref="B1097:C1097"/>
    <mergeCell ref="B1090:C1090"/>
    <mergeCell ref="B1091:C1091"/>
    <mergeCell ref="B1092:C1092"/>
    <mergeCell ref="B1083:C1083"/>
    <mergeCell ref="A1085:I1085"/>
    <mergeCell ref="E1086:E1087"/>
    <mergeCell ref="B1088:C1089"/>
    <mergeCell ref="G1088:H1088"/>
    <mergeCell ref="I1088:I1089"/>
    <mergeCell ref="B1149:C1149"/>
    <mergeCell ref="B1150:C1150"/>
    <mergeCell ref="B1151:C1151"/>
    <mergeCell ref="B1145:C1145"/>
    <mergeCell ref="B1147:C1147"/>
    <mergeCell ref="B1148:C1148"/>
    <mergeCell ref="B1142:C1142"/>
    <mergeCell ref="B1143:C1143"/>
    <mergeCell ref="B1144:C1144"/>
    <mergeCell ref="B1139:C1139"/>
    <mergeCell ref="B1140:C1140"/>
    <mergeCell ref="B1141:C1141"/>
    <mergeCell ref="A1109:I1109"/>
    <mergeCell ref="A1110:I1110"/>
    <mergeCell ref="A1133:I1133"/>
    <mergeCell ref="A1134:I1134"/>
    <mergeCell ref="E1135:E1136"/>
    <mergeCell ref="B1137:C1138"/>
    <mergeCell ref="G1137:H1137"/>
    <mergeCell ref="I1137:I1138"/>
    <mergeCell ref="B1168:C1168"/>
    <mergeCell ref="B1169:C1169"/>
    <mergeCell ref="B1170:C1170"/>
    <mergeCell ref="B1164:C1164"/>
    <mergeCell ref="B1165:C1165"/>
    <mergeCell ref="B1166:C1166"/>
    <mergeCell ref="B1167:C1167"/>
    <mergeCell ref="B1161:C1161"/>
    <mergeCell ref="B1162:C1162"/>
    <mergeCell ref="B1163:C1163"/>
    <mergeCell ref="B1158:C1158"/>
    <mergeCell ref="B1159:C1159"/>
    <mergeCell ref="B1160:C1160"/>
    <mergeCell ref="B1155:C1155"/>
    <mergeCell ref="B1156:C1156"/>
    <mergeCell ref="B1157:C1157"/>
    <mergeCell ref="B1152:C1152"/>
    <mergeCell ref="B1153:C1153"/>
    <mergeCell ref="B1154:C1154"/>
    <mergeCell ref="B1200:C1200"/>
    <mergeCell ref="B1202:C1202"/>
    <mergeCell ref="B1203:C1203"/>
    <mergeCell ref="B1197:C1197"/>
    <mergeCell ref="B1198:C1198"/>
    <mergeCell ref="B1199:C1199"/>
    <mergeCell ref="B1195:C1195"/>
    <mergeCell ref="B1196:C1196"/>
    <mergeCell ref="A1189:I1189"/>
    <mergeCell ref="E1191:E1192"/>
    <mergeCell ref="A1193:A1194"/>
    <mergeCell ref="B1193:C1194"/>
    <mergeCell ref="G1193:H1193"/>
    <mergeCell ref="I1193:I1194"/>
    <mergeCell ref="B1171:C1171"/>
    <mergeCell ref="B1174:I1174"/>
    <mergeCell ref="A1175:I1175"/>
    <mergeCell ref="B1186:C1186"/>
    <mergeCell ref="A1188:I1188"/>
    <mergeCell ref="B1257:C1257"/>
    <mergeCell ref="B1258:C1258"/>
    <mergeCell ref="B1259:C1259"/>
    <mergeCell ref="B1254:C1254"/>
    <mergeCell ref="B1255:C1255"/>
    <mergeCell ref="B1256:C1256"/>
    <mergeCell ref="B1251:C1251"/>
    <mergeCell ref="B1252:C1252"/>
    <mergeCell ref="B1253:C1253"/>
    <mergeCell ref="B1248:C1248"/>
    <mergeCell ref="B1249:C1249"/>
    <mergeCell ref="B1250:C1250"/>
    <mergeCell ref="A1205:I1205"/>
    <mergeCell ref="A1208:I1208"/>
    <mergeCell ref="A1209:I1209"/>
    <mergeCell ref="E1244:E1245"/>
    <mergeCell ref="B1246:C1247"/>
    <mergeCell ref="G1246:H1246"/>
    <mergeCell ref="I1246:I1247"/>
    <mergeCell ref="B1278:C1278"/>
    <mergeCell ref="B1279:C1279"/>
    <mergeCell ref="B1280:C1280"/>
    <mergeCell ref="B1273:C1273"/>
    <mergeCell ref="B1275:C1275"/>
    <mergeCell ref="B1276:C1276"/>
    <mergeCell ref="B1277:C1277"/>
    <mergeCell ref="B1269:C1269"/>
    <mergeCell ref="B1270:C1270"/>
    <mergeCell ref="B1271:C1271"/>
    <mergeCell ref="B1266:C1266"/>
    <mergeCell ref="B1267:C1267"/>
    <mergeCell ref="B1268:C1268"/>
    <mergeCell ref="B1263:C1263"/>
    <mergeCell ref="B1264:C1264"/>
    <mergeCell ref="B1265:C1265"/>
    <mergeCell ref="B1260:C1260"/>
    <mergeCell ref="B1261:C1261"/>
    <mergeCell ref="B1262:C1262"/>
    <mergeCell ref="B1312:C1312"/>
    <mergeCell ref="B1313:C1313"/>
    <mergeCell ref="B1314:C1314"/>
    <mergeCell ref="B1309:C1309"/>
    <mergeCell ref="B1310:C1310"/>
    <mergeCell ref="B1311:C1311"/>
    <mergeCell ref="B1293:I1293"/>
    <mergeCell ref="A1294:I1294"/>
    <mergeCell ref="E1305:E1306"/>
    <mergeCell ref="B1307:C1308"/>
    <mergeCell ref="G1307:H1307"/>
    <mergeCell ref="I1307:I1308"/>
    <mergeCell ref="A1283:I1283"/>
    <mergeCell ref="A1284:I1284"/>
    <mergeCell ref="B1285:C1285"/>
    <mergeCell ref="B1286:C1286"/>
    <mergeCell ref="B1290:C1290"/>
    <mergeCell ref="B1336:C1336"/>
    <mergeCell ref="B1337:C1337"/>
    <mergeCell ref="B1338:C1338"/>
    <mergeCell ref="B1333:C1333"/>
    <mergeCell ref="B1334:C1334"/>
    <mergeCell ref="B1335:C1335"/>
    <mergeCell ref="B1330:C1330"/>
    <mergeCell ref="B1331:C1331"/>
    <mergeCell ref="B1332:C1332"/>
    <mergeCell ref="B1326:C1326"/>
    <mergeCell ref="B1328:C1328"/>
    <mergeCell ref="B1329:C1329"/>
    <mergeCell ref="B1318:C1318"/>
    <mergeCell ref="B1321:C1321"/>
    <mergeCell ref="B1323:C1323"/>
    <mergeCell ref="B1324:C1324"/>
    <mergeCell ref="B1315:C1315"/>
    <mergeCell ref="B1316:C1316"/>
    <mergeCell ref="B1317:C1317"/>
    <mergeCell ref="B1365:C1365"/>
    <mergeCell ref="B1367:C1367"/>
    <mergeCell ref="B1368:C1368"/>
    <mergeCell ref="B1357:C1357"/>
    <mergeCell ref="B1358:C1358"/>
    <mergeCell ref="B1352:C1352"/>
    <mergeCell ref="B1353:C1353"/>
    <mergeCell ref="B1356:C1356"/>
    <mergeCell ref="B1349:C1349"/>
    <mergeCell ref="B1350:C1350"/>
    <mergeCell ref="B1351:C1351"/>
    <mergeCell ref="B1346:C1346"/>
    <mergeCell ref="B1347:C1347"/>
    <mergeCell ref="B1348:C1348"/>
    <mergeCell ref="B1339:C1339"/>
    <mergeCell ref="B1340:C1340"/>
    <mergeCell ref="B1345:C1345"/>
    <mergeCell ref="B1369:C1369"/>
    <mergeCell ref="B1370:C1370"/>
    <mergeCell ref="B1371:C1371"/>
    <mergeCell ref="A1372:I1372"/>
    <mergeCell ref="B1380:I1380"/>
    <mergeCell ref="A1382:I1382"/>
    <mergeCell ref="B1436:C1436"/>
    <mergeCell ref="B1437:C1437"/>
    <mergeCell ref="B1438:C1438"/>
    <mergeCell ref="B1439:C1439"/>
    <mergeCell ref="B1441:I1441"/>
    <mergeCell ref="A1442:I1442"/>
    <mergeCell ref="B1431:C1432"/>
    <mergeCell ref="G1431:H1431"/>
    <mergeCell ref="I1431:I1432"/>
    <mergeCell ref="B1433:C1433"/>
    <mergeCell ref="B1434:C1434"/>
    <mergeCell ref="B1435:C1435"/>
    <mergeCell ref="B1424:E1424"/>
    <mergeCell ref="B1426:I1426"/>
    <mergeCell ref="B1428:H1428"/>
    <mergeCell ref="E1429:E1430"/>
    <mergeCell ref="B1493:C1493"/>
    <mergeCell ref="B1494:C1494"/>
    <mergeCell ref="B1495:C1495"/>
    <mergeCell ref="B1496:C1496"/>
    <mergeCell ref="B1497:C1497"/>
    <mergeCell ref="B1498:C1498"/>
    <mergeCell ref="B1485:I1485"/>
    <mergeCell ref="A1486:I1486"/>
    <mergeCell ref="A1487:I1487"/>
    <mergeCell ref="A1488:I1488"/>
    <mergeCell ref="E1489:E1490"/>
    <mergeCell ref="B1491:C1492"/>
    <mergeCell ref="G1491:H1491"/>
    <mergeCell ref="I1491:I1492"/>
    <mergeCell ref="A1443:I1443"/>
    <mergeCell ref="A1444:I1444"/>
    <mergeCell ref="A1445:I1445"/>
    <mergeCell ref="A1446:I1446"/>
    <mergeCell ref="A1447:I1447"/>
    <mergeCell ref="A1448:I1448"/>
    <mergeCell ref="B1517:C1517"/>
    <mergeCell ref="B1518:C1518"/>
    <mergeCell ref="B1519:C1519"/>
    <mergeCell ref="B1520:C1520"/>
    <mergeCell ref="B1521:C1521"/>
    <mergeCell ref="B1522:C1522"/>
    <mergeCell ref="A1508:I1508"/>
    <mergeCell ref="A1509:I1509"/>
    <mergeCell ref="A1510:I1510"/>
    <mergeCell ref="A1512:I1512"/>
    <mergeCell ref="E1513:E1514"/>
    <mergeCell ref="B1515:C1516"/>
    <mergeCell ref="G1515:H1515"/>
    <mergeCell ref="I1515:I1516"/>
    <mergeCell ref="B1499:C1499"/>
    <mergeCell ref="B1500:C1500"/>
    <mergeCell ref="B1501:C1501"/>
    <mergeCell ref="B1502:C1502"/>
    <mergeCell ref="B1503:C1503"/>
    <mergeCell ref="B1507:I1507"/>
    <mergeCell ref="E1547:E1548"/>
    <mergeCell ref="B1549:C1550"/>
    <mergeCell ref="G1549:H1549"/>
    <mergeCell ref="I1549:I1550"/>
    <mergeCell ref="B1551:C1551"/>
    <mergeCell ref="B1552:C1552"/>
    <mergeCell ref="A1531:I1531"/>
    <mergeCell ref="A1532:I1532"/>
    <mergeCell ref="A1533:I1533"/>
    <mergeCell ref="A1534:I1534"/>
    <mergeCell ref="B1544:I1544"/>
    <mergeCell ref="B1546:I1546"/>
    <mergeCell ref="B1523:C1523"/>
    <mergeCell ref="B1525:I1525"/>
    <mergeCell ref="A1526:I1526"/>
    <mergeCell ref="A1528:I1528"/>
    <mergeCell ref="A1529:I1529"/>
    <mergeCell ref="A1530:I1530"/>
    <mergeCell ref="B1574:C1575"/>
    <mergeCell ref="G1574:H1574"/>
    <mergeCell ref="I1574:I1575"/>
    <mergeCell ref="B1576:C1576"/>
    <mergeCell ref="B1577:C1577"/>
    <mergeCell ref="B1578:C1578"/>
    <mergeCell ref="A1560:I1560"/>
    <mergeCell ref="B1564:I1564"/>
    <mergeCell ref="A1565:I1565"/>
    <mergeCell ref="A1566:I1566"/>
    <mergeCell ref="B1571:I1571"/>
    <mergeCell ref="E1572:E1573"/>
    <mergeCell ref="B1553:C1553"/>
    <mergeCell ref="B1554:C1554"/>
    <mergeCell ref="B1555:C1555"/>
    <mergeCell ref="B1556:C1556"/>
    <mergeCell ref="B1557:C1557"/>
    <mergeCell ref="B1559:I1559"/>
    <mergeCell ref="B1613:C1614"/>
    <mergeCell ref="G1613:H1613"/>
    <mergeCell ref="I1613:I1614"/>
    <mergeCell ref="M1604:M1605"/>
    <mergeCell ref="B1615:C1615"/>
    <mergeCell ref="B1616:C1616"/>
    <mergeCell ref="A1586:I1586"/>
    <mergeCell ref="A1605:D1605"/>
    <mergeCell ref="B1607:I1607"/>
    <mergeCell ref="A1608:I1608"/>
    <mergeCell ref="B1609:I1609"/>
    <mergeCell ref="E1611:E1612"/>
    <mergeCell ref="B1579:C1579"/>
    <mergeCell ref="B1580:C1580"/>
    <mergeCell ref="B1581:C1581"/>
    <mergeCell ref="B1582:C1582"/>
    <mergeCell ref="B1584:I1584"/>
    <mergeCell ref="A1585:I1585"/>
    <mergeCell ref="L1636:L1637"/>
    <mergeCell ref="B1646:I1646"/>
    <mergeCell ref="E1634:E1635"/>
    <mergeCell ref="B1636:C1637"/>
    <mergeCell ref="G1636:H1636"/>
    <mergeCell ref="I1636:I1637"/>
    <mergeCell ref="B1638:C1638"/>
    <mergeCell ref="B1639:C1639"/>
    <mergeCell ref="B1623:C1623"/>
    <mergeCell ref="A1626:I1626"/>
    <mergeCell ref="A1627:I1627"/>
    <mergeCell ref="A1628:I1628"/>
    <mergeCell ref="B1629:I1629"/>
    <mergeCell ref="B1631:I1631"/>
    <mergeCell ref="B1617:C1617"/>
    <mergeCell ref="B1618:C1618"/>
    <mergeCell ref="B1619:C1619"/>
    <mergeCell ref="B1620:C1620"/>
    <mergeCell ref="B1621:C1621"/>
    <mergeCell ref="B1622:C1622"/>
    <mergeCell ref="A1660:I1660"/>
    <mergeCell ref="A1665:I1665"/>
    <mergeCell ref="B1667:I1667"/>
    <mergeCell ref="A1668:I1668"/>
    <mergeCell ref="E1669:E1670"/>
    <mergeCell ref="B1671:C1672"/>
    <mergeCell ref="G1671:H1671"/>
    <mergeCell ref="I1671:I1672"/>
    <mergeCell ref="A1647:I1647"/>
    <mergeCell ref="A1648:I1648"/>
    <mergeCell ref="A1649:I1649"/>
    <mergeCell ref="A1650:I1650"/>
    <mergeCell ref="A1651:I1651"/>
    <mergeCell ref="A1652:I1652"/>
    <mergeCell ref="B1640:C1640"/>
    <mergeCell ref="B1641:C1641"/>
    <mergeCell ref="B1642:C1642"/>
    <mergeCell ref="B1643:C1643"/>
    <mergeCell ref="B1644:C1644"/>
    <mergeCell ref="E1691:E1692"/>
    <mergeCell ref="B1693:C1694"/>
    <mergeCell ref="G1693:H1693"/>
    <mergeCell ref="I1693:I1694"/>
    <mergeCell ref="B1695:C1695"/>
    <mergeCell ref="B1696:C1696"/>
    <mergeCell ref="B1679:C1679"/>
    <mergeCell ref="A1682:I1682"/>
    <mergeCell ref="A1684:I1684"/>
    <mergeCell ref="A1685:I1685"/>
    <mergeCell ref="B1689:I1689"/>
    <mergeCell ref="A1690:I1690"/>
    <mergeCell ref="B1673:C1673"/>
    <mergeCell ref="B1674:C1674"/>
    <mergeCell ref="B1675:C1675"/>
    <mergeCell ref="B1676:C1676"/>
    <mergeCell ref="B1677:C1677"/>
    <mergeCell ref="B1678:C1678"/>
    <mergeCell ref="A1728:I1728"/>
    <mergeCell ref="A1729:I1729"/>
    <mergeCell ref="A1730:I1730"/>
    <mergeCell ref="B1731:I1731"/>
    <mergeCell ref="E1732:E1733"/>
    <mergeCell ref="B1734:C1735"/>
    <mergeCell ref="G1734:H1734"/>
    <mergeCell ref="I1734:I1735"/>
    <mergeCell ref="A1704:I1704"/>
    <mergeCell ref="A1705:I1705"/>
    <mergeCell ref="A1706:I1706"/>
    <mergeCell ref="A1707:I1707"/>
    <mergeCell ref="A1708:I1708"/>
    <mergeCell ref="B1727:I1727"/>
    <mergeCell ref="B1697:C1697"/>
    <mergeCell ref="B1698:C1698"/>
    <mergeCell ref="B1699:C1699"/>
    <mergeCell ref="B1700:C1700"/>
    <mergeCell ref="B1701:C1701"/>
    <mergeCell ref="A1703:I1703"/>
    <mergeCell ref="A1749:I1749"/>
    <mergeCell ref="A1750:I1750"/>
    <mergeCell ref="A1752:I1752"/>
    <mergeCell ref="B1755:I1755"/>
    <mergeCell ref="B1742:C1742"/>
    <mergeCell ref="B1743:C1743"/>
    <mergeCell ref="B1744:C1744"/>
    <mergeCell ref="B1745:C1745"/>
    <mergeCell ref="B1746:C1746"/>
    <mergeCell ref="B1747:C1747"/>
    <mergeCell ref="B1736:C1736"/>
    <mergeCell ref="B1737:C1737"/>
    <mergeCell ref="B1738:C1738"/>
    <mergeCell ref="B1739:C1739"/>
    <mergeCell ref="B1740:C1740"/>
    <mergeCell ref="B1741:C1741"/>
    <mergeCell ref="B1769:C1769"/>
    <mergeCell ref="B1771:I1771"/>
    <mergeCell ref="A1772:I1772"/>
    <mergeCell ref="A1773:I1773"/>
    <mergeCell ref="A1774:I1774"/>
    <mergeCell ref="A1775:I1775"/>
    <mergeCell ref="B1763:C1763"/>
    <mergeCell ref="B1764:C1764"/>
    <mergeCell ref="B1765:C1765"/>
    <mergeCell ref="B1766:C1766"/>
    <mergeCell ref="B1767:C1767"/>
    <mergeCell ref="B1768:C1768"/>
    <mergeCell ref="A1756:I1756"/>
    <mergeCell ref="B1758:I1758"/>
    <mergeCell ref="E1759:E1760"/>
    <mergeCell ref="B1761:C1762"/>
    <mergeCell ref="G1761:H1761"/>
    <mergeCell ref="I1761:I1762"/>
    <mergeCell ref="B1794:C1794"/>
    <mergeCell ref="B1795:C1795"/>
    <mergeCell ref="B1796:C1796"/>
    <mergeCell ref="B1797:C1797"/>
    <mergeCell ref="B1798:C1798"/>
    <mergeCell ref="A1800:I1800"/>
    <mergeCell ref="B1787:I1787"/>
    <mergeCell ref="A1788:I1788"/>
    <mergeCell ref="B1789:I1789"/>
    <mergeCell ref="E1790:E1791"/>
    <mergeCell ref="B1792:C1793"/>
    <mergeCell ref="G1792:H1792"/>
    <mergeCell ref="I1792:I1793"/>
    <mergeCell ref="A1776:I1776"/>
    <mergeCell ref="A1777:I1777"/>
    <mergeCell ref="A1778:I1778"/>
    <mergeCell ref="B1779:I1779"/>
    <mergeCell ref="A1780:I1780"/>
    <mergeCell ref="B1785:E1785"/>
    <mergeCell ref="B1814:C1814"/>
    <mergeCell ref="B1815:C1815"/>
    <mergeCell ref="B1816:C1816"/>
    <mergeCell ref="B1817:C1817"/>
    <mergeCell ref="B1819:I1819"/>
    <mergeCell ref="A1820:I1820"/>
    <mergeCell ref="B1809:C1810"/>
    <mergeCell ref="G1809:H1809"/>
    <mergeCell ref="I1809:I1810"/>
    <mergeCell ref="B1811:C1811"/>
    <mergeCell ref="B1812:C1812"/>
    <mergeCell ref="B1813:C1813"/>
    <mergeCell ref="A1801:I1801"/>
    <mergeCell ref="A1802:I1802"/>
    <mergeCell ref="A1803:I1803"/>
    <mergeCell ref="A1804:I1804"/>
    <mergeCell ref="A1806:I1806"/>
    <mergeCell ref="E1807:E1808"/>
    <mergeCell ref="B1854:C1854"/>
    <mergeCell ref="B1855:C1855"/>
    <mergeCell ref="B1856:C1856"/>
    <mergeCell ref="B1857:C1857"/>
    <mergeCell ref="B1858:C1858"/>
    <mergeCell ref="B1859:C1859"/>
    <mergeCell ref="B1847:I1847"/>
    <mergeCell ref="A1849:I1849"/>
    <mergeCell ref="E1850:E1851"/>
    <mergeCell ref="B1852:C1853"/>
    <mergeCell ref="G1852:H1852"/>
    <mergeCell ref="I1852:I1853"/>
    <mergeCell ref="A1822:I1822"/>
    <mergeCell ref="A1825:I1825"/>
    <mergeCell ref="A1827:I1827"/>
    <mergeCell ref="A1829:I1829"/>
    <mergeCell ref="A1832:I1832"/>
    <mergeCell ref="A1845:E1845"/>
    <mergeCell ref="A1906:I1906"/>
    <mergeCell ref="A1908:I1908"/>
    <mergeCell ref="A1910:I1910"/>
    <mergeCell ref="E1911:E1912"/>
    <mergeCell ref="B1913:C1914"/>
    <mergeCell ref="G1913:H1913"/>
    <mergeCell ref="I1913:I1914"/>
    <mergeCell ref="A1870:I1870"/>
    <mergeCell ref="A1871:I1871"/>
    <mergeCell ref="A1872:I1872"/>
    <mergeCell ref="A1873:I1873"/>
    <mergeCell ref="A1874:I1874"/>
    <mergeCell ref="A1875:I1875"/>
    <mergeCell ref="B1860:C1860"/>
    <mergeCell ref="B1862:I1862"/>
    <mergeCell ref="A1863:I1863"/>
    <mergeCell ref="A1867:I1867"/>
    <mergeCell ref="A1868:I1868"/>
    <mergeCell ref="A1869:I1869"/>
    <mergeCell ref="A1928:I1928"/>
    <mergeCell ref="A1929:I1929"/>
    <mergeCell ref="A1930:I1930"/>
    <mergeCell ref="B1937:I1937"/>
    <mergeCell ref="A1938:I1938"/>
    <mergeCell ref="B1939:I1939"/>
    <mergeCell ref="B1921:C1921"/>
    <mergeCell ref="B1923:I1923"/>
    <mergeCell ref="A1924:I1924"/>
    <mergeCell ref="A1925:I1925"/>
    <mergeCell ref="A1926:I1926"/>
    <mergeCell ref="A1927:I1927"/>
    <mergeCell ref="B1915:C1915"/>
    <mergeCell ref="B1916:C1916"/>
    <mergeCell ref="B1917:C1917"/>
    <mergeCell ref="B1918:C1918"/>
    <mergeCell ref="B1919:C1919"/>
    <mergeCell ref="B1920:C1920"/>
    <mergeCell ref="B1952:C1952"/>
    <mergeCell ref="B1953:C1953"/>
    <mergeCell ref="B1954:C1954"/>
    <mergeCell ref="B1955:C1955"/>
    <mergeCell ref="B1956:C1956"/>
    <mergeCell ref="B1957:C1957"/>
    <mergeCell ref="B1946:C1946"/>
    <mergeCell ref="B1947:C1947"/>
    <mergeCell ref="B1948:C1948"/>
    <mergeCell ref="B1949:C1949"/>
    <mergeCell ref="B1950:C1950"/>
    <mergeCell ref="B1951:C1951"/>
    <mergeCell ref="E1940:E1941"/>
    <mergeCell ref="B1942:C1943"/>
    <mergeCell ref="G1942:H1942"/>
    <mergeCell ref="I1942:I1943"/>
    <mergeCell ref="B1944:C1944"/>
    <mergeCell ref="B1945:C1945"/>
    <mergeCell ref="B1974:C1974"/>
    <mergeCell ref="B1975:C1975"/>
    <mergeCell ref="B1976:C1976"/>
    <mergeCell ref="B1977:C1977"/>
    <mergeCell ref="B1978:I1978"/>
    <mergeCell ref="A1979:I1979"/>
    <mergeCell ref="B1969:C1970"/>
    <mergeCell ref="G1969:H1969"/>
    <mergeCell ref="I1969:I1970"/>
    <mergeCell ref="B1971:C1971"/>
    <mergeCell ref="B1972:C1972"/>
    <mergeCell ref="B1973:C1973"/>
    <mergeCell ref="A1959:I1959"/>
    <mergeCell ref="A1960:I1960"/>
    <mergeCell ref="B1961:I1961"/>
    <mergeCell ref="A1962:I1962"/>
    <mergeCell ref="A1966:H1966"/>
    <mergeCell ref="E1967:E1968"/>
    <mergeCell ref="B1996:I1996"/>
    <mergeCell ref="E1997:E1998"/>
    <mergeCell ref="B1999:C2000"/>
    <mergeCell ref="G1999:H1999"/>
    <mergeCell ref="I1999:I2000"/>
    <mergeCell ref="B2001:C2001"/>
    <mergeCell ref="B1986:I1986"/>
    <mergeCell ref="A1987:I1987"/>
    <mergeCell ref="B1991:D1991"/>
    <mergeCell ref="B1992:I1992"/>
    <mergeCell ref="A1993:I1993"/>
    <mergeCell ref="A1994:I1994"/>
    <mergeCell ref="A1980:I1980"/>
    <mergeCell ref="A1981:I1981"/>
    <mergeCell ref="A1982:I1982"/>
    <mergeCell ref="A1983:I1983"/>
    <mergeCell ref="A1984:I1984"/>
    <mergeCell ref="A1985:I1985"/>
    <mergeCell ref="B2028:C2028"/>
    <mergeCell ref="B2029:C2029"/>
    <mergeCell ref="B2030:C2030"/>
    <mergeCell ref="B2031:C2031"/>
    <mergeCell ref="B2032:C2032"/>
    <mergeCell ref="B2033:C2033"/>
    <mergeCell ref="B2010:C2010"/>
    <mergeCell ref="B2011:C2011"/>
    <mergeCell ref="A2012:I2012"/>
    <mergeCell ref="A2013:I2013"/>
    <mergeCell ref="E2024:E2025"/>
    <mergeCell ref="B2026:C2027"/>
    <mergeCell ref="G2026:H2026"/>
    <mergeCell ref="I2026:I2027"/>
    <mergeCell ref="B2002:C2002"/>
    <mergeCell ref="B2003:C2003"/>
    <mergeCell ref="B2004:C2004"/>
    <mergeCell ref="B2005:C2005"/>
    <mergeCell ref="B2006:C2006"/>
    <mergeCell ref="B2007:C2007"/>
    <mergeCell ref="A2054:I2054"/>
    <mergeCell ref="A2055:I2055"/>
    <mergeCell ref="E2056:E2057"/>
    <mergeCell ref="B2058:C2059"/>
    <mergeCell ref="G2058:H2058"/>
    <mergeCell ref="I2058:I2059"/>
    <mergeCell ref="A2043:I2043"/>
    <mergeCell ref="A2044:I2044"/>
    <mergeCell ref="B2049:D2049"/>
    <mergeCell ref="A2051:I2051"/>
    <mergeCell ref="A2052:I2052"/>
    <mergeCell ref="A2053:I2053"/>
    <mergeCell ref="B2034:C2034"/>
    <mergeCell ref="B2036:I2036"/>
    <mergeCell ref="A2037:I2037"/>
    <mergeCell ref="A2039:I2039"/>
    <mergeCell ref="A2040:I2040"/>
    <mergeCell ref="A2041:I2041"/>
    <mergeCell ref="B2075:I2075"/>
    <mergeCell ref="A2076:I2076"/>
    <mergeCell ref="E2084:E2085"/>
    <mergeCell ref="B2086:C2087"/>
    <mergeCell ref="G2086:H2086"/>
    <mergeCell ref="I2086:I2087"/>
    <mergeCell ref="B2067:C2067"/>
    <mergeCell ref="A2069:I2069"/>
    <mergeCell ref="A2070:I2070"/>
    <mergeCell ref="A2071:I2071"/>
    <mergeCell ref="A2072:I2072"/>
    <mergeCell ref="A2074:I2074"/>
    <mergeCell ref="B2060:C2060"/>
    <mergeCell ref="B2061:C2061"/>
    <mergeCell ref="B2062:C2062"/>
    <mergeCell ref="B2063:C2063"/>
    <mergeCell ref="B2065:C2065"/>
    <mergeCell ref="B2066:C2066"/>
    <mergeCell ref="A2101:I2101"/>
    <mergeCell ref="A2102:I2102"/>
    <mergeCell ref="B2107:D2107"/>
    <mergeCell ref="A2109:I2109"/>
    <mergeCell ref="E2110:E2111"/>
    <mergeCell ref="B2112:C2113"/>
    <mergeCell ref="G2112:H2112"/>
    <mergeCell ref="I2112:I2113"/>
    <mergeCell ref="B2094:C2094"/>
    <mergeCell ref="B2096:I2096"/>
    <mergeCell ref="A2097:I2097"/>
    <mergeCell ref="A2098:I2098"/>
    <mergeCell ref="A2099:I2099"/>
    <mergeCell ref="A2100:I2100"/>
    <mergeCell ref="B2088:C2088"/>
    <mergeCell ref="B2089:C2089"/>
    <mergeCell ref="B2090:C2090"/>
    <mergeCell ref="B2091:C2091"/>
    <mergeCell ref="B2092:C2092"/>
    <mergeCell ref="B2093:C2093"/>
    <mergeCell ref="A2126:I2126"/>
    <mergeCell ref="B2128:I2128"/>
    <mergeCell ref="A2129:I2129"/>
    <mergeCell ref="A2143:I2143"/>
    <mergeCell ref="B2146:C2147"/>
    <mergeCell ref="G2146:H2146"/>
    <mergeCell ref="I2146:I2147"/>
    <mergeCell ref="B2121:C2121"/>
    <mergeCell ref="B2123:I2123"/>
    <mergeCell ref="A2124:I2124"/>
    <mergeCell ref="A2125:I2125"/>
    <mergeCell ref="B2118:C2118"/>
    <mergeCell ref="B2119:C2119"/>
    <mergeCell ref="B2120:C2120"/>
    <mergeCell ref="B2114:C2114"/>
    <mergeCell ref="B2116:C2116"/>
    <mergeCell ref="B2117:C2117"/>
    <mergeCell ref="A2161:I2161"/>
    <mergeCell ref="A2162:I2162"/>
    <mergeCell ref="A2163:I2163"/>
    <mergeCell ref="B2169:D2169"/>
    <mergeCell ref="A2171:I2171"/>
    <mergeCell ref="A2172:I2172"/>
    <mergeCell ref="B2154:C2154"/>
    <mergeCell ref="B2156:I2156"/>
    <mergeCell ref="A2157:I2157"/>
    <mergeCell ref="A2158:I2158"/>
    <mergeCell ref="A2159:I2159"/>
    <mergeCell ref="A2160:I2160"/>
    <mergeCell ref="B2148:C2148"/>
    <mergeCell ref="B2149:C2149"/>
    <mergeCell ref="B2150:C2150"/>
    <mergeCell ref="B2151:C2151"/>
    <mergeCell ref="B2152:C2152"/>
    <mergeCell ref="B2153:C2153"/>
    <mergeCell ref="A2201:I2201"/>
    <mergeCell ref="E2202:E2203"/>
    <mergeCell ref="B2204:C2205"/>
    <mergeCell ref="G2204:H2204"/>
    <mergeCell ref="I2204:I2205"/>
    <mergeCell ref="B2206:C2206"/>
    <mergeCell ref="B2179:C2179"/>
    <mergeCell ref="B2180:C2180"/>
    <mergeCell ref="A2182:I2182"/>
    <mergeCell ref="B2183:I2183"/>
    <mergeCell ref="B2184:I2184"/>
    <mergeCell ref="A2185:I2185"/>
    <mergeCell ref="E2173:E2174"/>
    <mergeCell ref="B2175:C2176"/>
    <mergeCell ref="G2175:H2175"/>
    <mergeCell ref="I2175:I2176"/>
    <mergeCell ref="B2177:C2177"/>
    <mergeCell ref="B2178:C2178"/>
    <mergeCell ref="A2220:I2220"/>
    <mergeCell ref="A2222:I2222"/>
    <mergeCell ref="B2226:D2226"/>
    <mergeCell ref="A2228:I2228"/>
    <mergeCell ref="A2229:I2229"/>
    <mergeCell ref="E2230:E2231"/>
    <mergeCell ref="B2214:I2214"/>
    <mergeCell ref="A2215:I2215"/>
    <mergeCell ref="A2216:I2216"/>
    <mergeCell ref="A2217:I2217"/>
    <mergeCell ref="A2218:I2218"/>
    <mergeCell ref="A2219:I2219"/>
    <mergeCell ref="B2207:C2207"/>
    <mergeCell ref="B2208:C2208"/>
    <mergeCell ref="B2209:C2209"/>
    <mergeCell ref="B2210:C2210"/>
    <mergeCell ref="B2211:C2211"/>
    <mergeCell ref="B2212:C2212"/>
    <mergeCell ref="A2263:I2263"/>
    <mergeCell ref="A2264:I2264"/>
    <mergeCell ref="E2265:E2266"/>
    <mergeCell ref="B2267:C2268"/>
    <mergeCell ref="G2267:H2267"/>
    <mergeCell ref="I2267:I2268"/>
    <mergeCell ref="B2237:C2237"/>
    <mergeCell ref="B2238:C2238"/>
    <mergeCell ref="B2239:C2239"/>
    <mergeCell ref="A2243:I2243"/>
    <mergeCell ref="A2244:I2244"/>
    <mergeCell ref="B2261:F2261"/>
    <mergeCell ref="B2232:C2233"/>
    <mergeCell ref="G2232:H2232"/>
    <mergeCell ref="I2232:I2233"/>
    <mergeCell ref="B2234:C2234"/>
    <mergeCell ref="B2235:C2235"/>
    <mergeCell ref="B2236:C2236"/>
    <mergeCell ref="B2285:C2285"/>
    <mergeCell ref="B2286:C2286"/>
    <mergeCell ref="B2289:I2289"/>
    <mergeCell ref="A2290:I2290"/>
    <mergeCell ref="A2297:I2297"/>
    <mergeCell ref="A2298:I2298"/>
    <mergeCell ref="B2279:C2280"/>
    <mergeCell ref="G2279:H2279"/>
    <mergeCell ref="I2279:I2280"/>
    <mergeCell ref="B2282:C2282"/>
    <mergeCell ref="B2283:C2283"/>
    <mergeCell ref="B2284:C2284"/>
    <mergeCell ref="B2270:C2270"/>
    <mergeCell ref="B2271:C2271"/>
    <mergeCell ref="B2272:C2272"/>
    <mergeCell ref="A2274:I2274"/>
    <mergeCell ref="A2276:I2276"/>
    <mergeCell ref="E2277:E2278"/>
    <mergeCell ref="B2330:C2330"/>
    <mergeCell ref="B2331:C2331"/>
    <mergeCell ref="B2332:C2332"/>
    <mergeCell ref="B2333:C2333"/>
    <mergeCell ref="B2334:C2334"/>
    <mergeCell ref="A2337:I2337"/>
    <mergeCell ref="A2324:I2324"/>
    <mergeCell ref="E2325:E2326"/>
    <mergeCell ref="B2327:C2328"/>
    <mergeCell ref="G2327:H2327"/>
    <mergeCell ref="I2327:I2328"/>
    <mergeCell ref="B2329:C2329"/>
    <mergeCell ref="A2301:I2301"/>
    <mergeCell ref="A2303:I2303"/>
    <mergeCell ref="B2305:I2305"/>
    <mergeCell ref="A2306:I2306"/>
    <mergeCell ref="B2321:E2321"/>
    <mergeCell ref="A2323:I2323"/>
    <mergeCell ref="B2393:C2394"/>
    <mergeCell ref="G2393:H2393"/>
    <mergeCell ref="I2393:I2394"/>
    <mergeCell ref="B2395:C2395"/>
    <mergeCell ref="B2396:C2396"/>
    <mergeCell ref="B2398:C2398"/>
    <mergeCell ref="B2385:D2385"/>
    <mergeCell ref="A2387:I2387"/>
    <mergeCell ref="A2388:I2388"/>
    <mergeCell ref="A2389:I2389"/>
    <mergeCell ref="A2390:I2390"/>
    <mergeCell ref="E2391:E2392"/>
    <mergeCell ref="A2338:I2338"/>
    <mergeCell ref="A2340:I2340"/>
    <mergeCell ref="A2341:I2341"/>
    <mergeCell ref="A2342:I2342"/>
    <mergeCell ref="A2343:I2343"/>
    <mergeCell ref="A2344:I2344"/>
    <mergeCell ref="B2355:C2356"/>
    <mergeCell ref="G2355:H2355"/>
    <mergeCell ref="I2355:I2356"/>
    <mergeCell ref="B2357:C2357"/>
    <mergeCell ref="B2358:C2358"/>
    <mergeCell ref="B2359:C2359"/>
    <mergeCell ref="B2360:C2360"/>
    <mergeCell ref="B2361:C2361"/>
    <mergeCell ref="B2362:C2362"/>
    <mergeCell ref="B2414:C2414"/>
    <mergeCell ref="B2415:C2415"/>
    <mergeCell ref="B2416:C2416"/>
    <mergeCell ref="B2417:C2417"/>
    <mergeCell ref="A2420:I2420"/>
    <mergeCell ref="A2421:I2421"/>
    <mergeCell ref="E2408:E2409"/>
    <mergeCell ref="B2410:C2411"/>
    <mergeCell ref="G2410:H2410"/>
    <mergeCell ref="I2410:I2411"/>
    <mergeCell ref="B2412:C2412"/>
    <mergeCell ref="B2413:C2413"/>
    <mergeCell ref="B2399:C2399"/>
    <mergeCell ref="B2400:C2400"/>
    <mergeCell ref="B2401:C2401"/>
    <mergeCell ref="B2403:C2403"/>
    <mergeCell ref="B2405:I2405"/>
    <mergeCell ref="A2407:I2407"/>
    <mergeCell ref="B2457:C2457"/>
    <mergeCell ref="A2459:I2459"/>
    <mergeCell ref="B2469:D2469"/>
    <mergeCell ref="B2471:I2471"/>
    <mergeCell ref="B2451:C2451"/>
    <mergeCell ref="B2452:C2452"/>
    <mergeCell ref="B2453:C2453"/>
    <mergeCell ref="B2454:C2454"/>
    <mergeCell ref="B2455:C2455"/>
    <mergeCell ref="B2456:C2456"/>
    <mergeCell ref="A2430:I2430"/>
    <mergeCell ref="A2444:H2444"/>
    <mergeCell ref="D2447:F2447"/>
    <mergeCell ref="B2449:C2450"/>
    <mergeCell ref="G2449:H2449"/>
    <mergeCell ref="I2449:I2450"/>
    <mergeCell ref="A2423:I2423"/>
    <mergeCell ref="A2425:I2425"/>
    <mergeCell ref="A2426:I2426"/>
    <mergeCell ref="A2427:I2427"/>
    <mergeCell ref="A2428:I2428"/>
    <mergeCell ref="A2429:I2429"/>
    <mergeCell ref="A2488:I2488"/>
    <mergeCell ref="A2489:I2489"/>
    <mergeCell ref="B2490:I2490"/>
    <mergeCell ref="A2491:I2491"/>
    <mergeCell ref="A2492:I2492"/>
    <mergeCell ref="B2493:I2493"/>
    <mergeCell ref="B2478:C2478"/>
    <mergeCell ref="B2479:C2479"/>
    <mergeCell ref="B2480:C2480"/>
    <mergeCell ref="B2481:C2481"/>
    <mergeCell ref="B2482:C2482"/>
    <mergeCell ref="A2486:I2486"/>
    <mergeCell ref="A2472:I2472"/>
    <mergeCell ref="E2473:E2474"/>
    <mergeCell ref="B2475:C2476"/>
    <mergeCell ref="G2475:H2475"/>
    <mergeCell ref="I2475:I2476"/>
    <mergeCell ref="B2477:C2477"/>
    <mergeCell ref="B2517:C2518"/>
    <mergeCell ref="G2517:H2517"/>
    <mergeCell ref="I2517:I2518"/>
    <mergeCell ref="B2519:C2519"/>
    <mergeCell ref="B2520:C2520"/>
    <mergeCell ref="B2521:C2521"/>
    <mergeCell ref="B2509:C2509"/>
    <mergeCell ref="B2510:C2510"/>
    <mergeCell ref="B2511:C2511"/>
    <mergeCell ref="B2512:C2512"/>
    <mergeCell ref="A2514:I2514"/>
    <mergeCell ref="E2515:E2516"/>
    <mergeCell ref="A2494:I2494"/>
    <mergeCell ref="B2501:E2501"/>
    <mergeCell ref="A2503:I2503"/>
    <mergeCell ref="A2504:I2504"/>
    <mergeCell ref="E2505:E2506"/>
    <mergeCell ref="B2507:C2508"/>
    <mergeCell ref="G2507:H2507"/>
    <mergeCell ref="I2507:I2508"/>
    <mergeCell ref="A2541:I2541"/>
    <mergeCell ref="E2542:E2543"/>
    <mergeCell ref="B2544:C2545"/>
    <mergeCell ref="G2544:H2544"/>
    <mergeCell ref="I2544:I2545"/>
    <mergeCell ref="B2546:C2546"/>
    <mergeCell ref="A2531:I2531"/>
    <mergeCell ref="A2532:I2532"/>
    <mergeCell ref="A2533:I2533"/>
    <mergeCell ref="A2534:I2534"/>
    <mergeCell ref="A2535:I2535"/>
    <mergeCell ref="B2539:C2539"/>
    <mergeCell ref="B2522:C2522"/>
    <mergeCell ref="B2523:C2523"/>
    <mergeCell ref="B2524:C2524"/>
    <mergeCell ref="B2528:I2528"/>
    <mergeCell ref="A2529:I2529"/>
    <mergeCell ref="A2530:I2530"/>
    <mergeCell ref="B2569:C2569"/>
    <mergeCell ref="B2570:C2570"/>
    <mergeCell ref="B2571:C2571"/>
    <mergeCell ref="A2574:I2574"/>
    <mergeCell ref="B2575:I2575"/>
    <mergeCell ref="A2576:I2576"/>
    <mergeCell ref="B2564:C2565"/>
    <mergeCell ref="G2564:H2564"/>
    <mergeCell ref="I2564:I2565"/>
    <mergeCell ref="B2566:C2566"/>
    <mergeCell ref="B2567:C2567"/>
    <mergeCell ref="B2568:C2568"/>
    <mergeCell ref="B2547:C2547"/>
    <mergeCell ref="B2548:C2548"/>
    <mergeCell ref="B2549:C2549"/>
    <mergeCell ref="B2551:I2551"/>
    <mergeCell ref="A2561:I2561"/>
    <mergeCell ref="E2562:E2563"/>
    <mergeCell ref="E2591:E2592"/>
    <mergeCell ref="B2593:C2594"/>
    <mergeCell ref="G2593:H2593"/>
    <mergeCell ref="I2593:I2594"/>
    <mergeCell ref="B2595:C2595"/>
    <mergeCell ref="B2596:C2596"/>
    <mergeCell ref="A2577:I2577"/>
    <mergeCell ref="A2642:I2642"/>
    <mergeCell ref="B2635:I2635"/>
    <mergeCell ref="A2636:I2636"/>
    <mergeCell ref="A2638:I2638"/>
    <mergeCell ref="A2639:I2639"/>
    <mergeCell ref="A2640:I2640"/>
    <mergeCell ref="A2641:I2641"/>
    <mergeCell ref="B2626:C2626"/>
    <mergeCell ref="B2627:C2627"/>
    <mergeCell ref="B2628:C2628"/>
    <mergeCell ref="B2629:C2629"/>
    <mergeCell ref="B2630:C2630"/>
    <mergeCell ref="B2631:C2631"/>
    <mergeCell ref="B2598:C2598"/>
    <mergeCell ref="B2600:I2600"/>
    <mergeCell ref="E2622:E2623"/>
    <mergeCell ref="B2624:C2625"/>
    <mergeCell ref="G2624:H2624"/>
    <mergeCell ref="I2624:I2625"/>
    <mergeCell ref="A2578:I2578"/>
    <mergeCell ref="A2580:I2580"/>
    <mergeCell ref="B2586:C2586"/>
    <mergeCell ref="A2588:I2588"/>
    <mergeCell ref="A2589:I2589"/>
  </mergeCells>
  <pageMargins left="0.25" right="0.25" top="0.25" bottom="0.25" header="0.25" footer="0.25"/>
  <pageSetup paperSize="9" scale="8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4"/>
  <sheetViews>
    <sheetView workbookViewId="0">
      <selection activeCell="L18" sqref="L18"/>
    </sheetView>
  </sheetViews>
  <sheetFormatPr defaultRowHeight="15" x14ac:dyDescent="0.25"/>
  <cols>
    <col min="1" max="1" width="5.42578125" customWidth="1"/>
    <col min="3" max="3" width="12.85546875" customWidth="1"/>
    <col min="4" max="4" width="14" customWidth="1"/>
    <col min="5" max="5" width="13.85546875" customWidth="1"/>
    <col min="6" max="6" width="14" customWidth="1"/>
  </cols>
  <sheetData>
    <row r="4" spans="1:9" x14ac:dyDescent="0.25">
      <c r="A4" s="603"/>
      <c r="B4" s="164"/>
      <c r="C4" s="15"/>
      <c r="D4" s="610"/>
      <c r="E4" s="610"/>
      <c r="F4" s="610"/>
      <c r="G4" s="603"/>
      <c r="H4" s="603"/>
      <c r="I4" s="15"/>
    </row>
    <row r="5" spans="1:9" x14ac:dyDescent="0.25">
      <c r="A5" s="611" t="s">
        <v>48</v>
      </c>
      <c r="B5" s="702" t="s">
        <v>49</v>
      </c>
      <c r="C5" s="703"/>
      <c r="D5" s="380" t="s">
        <v>86</v>
      </c>
      <c r="E5" s="609" t="s">
        <v>152</v>
      </c>
      <c r="F5" s="40" t="s">
        <v>87</v>
      </c>
      <c r="G5" s="706" t="s">
        <v>52</v>
      </c>
      <c r="H5" s="707"/>
      <c r="I5" s="599" t="s">
        <v>53</v>
      </c>
    </row>
    <row r="6" spans="1:9" x14ac:dyDescent="0.25">
      <c r="A6" s="612" t="s">
        <v>183</v>
      </c>
      <c r="B6" s="704"/>
      <c r="C6" s="705"/>
      <c r="D6" s="381" t="s">
        <v>521</v>
      </c>
      <c r="E6" s="41" t="s">
        <v>535</v>
      </c>
      <c r="F6" s="41" t="s">
        <v>541</v>
      </c>
      <c r="G6" s="24" t="s">
        <v>55</v>
      </c>
      <c r="H6" s="24" t="s">
        <v>56</v>
      </c>
      <c r="I6" s="600"/>
    </row>
    <row r="7" spans="1:9" x14ac:dyDescent="0.25">
      <c r="A7" s="165">
        <v>1</v>
      </c>
      <c r="B7" s="606">
        <v>2</v>
      </c>
      <c r="C7" s="607"/>
      <c r="D7" s="166">
        <v>3</v>
      </c>
      <c r="E7" s="166">
        <v>4</v>
      </c>
      <c r="F7" s="166">
        <v>5</v>
      </c>
      <c r="G7" s="166">
        <v>6</v>
      </c>
      <c r="H7" s="166">
        <v>7</v>
      </c>
      <c r="I7" s="165">
        <v>8</v>
      </c>
    </row>
    <row r="8" spans="1:9" x14ac:dyDescent="0.25">
      <c r="A8" s="81">
        <v>111</v>
      </c>
      <c r="B8" s="716" t="s">
        <v>184</v>
      </c>
      <c r="C8" s="717"/>
      <c r="D8" s="145">
        <v>10100221.060000001</v>
      </c>
      <c r="E8" s="428">
        <v>15201843.23</v>
      </c>
      <c r="F8" s="145">
        <v>14961211.73</v>
      </c>
      <c r="G8" s="167">
        <f t="shared" ref="G8:G14" si="0">F8/D8</f>
        <v>1.4812756712079329</v>
      </c>
      <c r="H8" s="167">
        <f t="shared" ref="H8:H14" si="1">F8/E8</f>
        <v>0.98417089978107875</v>
      </c>
      <c r="I8" s="144">
        <f>F8/F14</f>
        <v>0.59246336987465087</v>
      </c>
    </row>
    <row r="9" spans="1:9" x14ac:dyDescent="0.25">
      <c r="A9" s="81">
        <v>130</v>
      </c>
      <c r="B9" s="716" t="s">
        <v>185</v>
      </c>
      <c r="C9" s="717"/>
      <c r="D9" s="145">
        <v>2694924.25</v>
      </c>
      <c r="E9" s="428">
        <v>4587797.63</v>
      </c>
      <c r="F9" s="145">
        <v>3075769.39</v>
      </c>
      <c r="G9" s="167">
        <f t="shared" si="0"/>
        <v>1.1413194229856369</v>
      </c>
      <c r="H9" s="167">
        <f t="shared" si="1"/>
        <v>0.67042394587923448</v>
      </c>
      <c r="I9" s="144">
        <f>F9/F14</f>
        <v>0.12180034148588974</v>
      </c>
    </row>
    <row r="10" spans="1:9" x14ac:dyDescent="0.25">
      <c r="A10" s="81">
        <v>132</v>
      </c>
      <c r="B10" s="716" t="s">
        <v>186</v>
      </c>
      <c r="C10" s="717"/>
      <c r="D10" s="145">
        <v>583983.11</v>
      </c>
      <c r="E10" s="5">
        <f>115800+357000+34200+158000+17500+66531+3469+179500</f>
        <v>932000</v>
      </c>
      <c r="F10" s="145">
        <v>588322.81000000006</v>
      </c>
      <c r="G10" s="167">
        <f t="shared" si="0"/>
        <v>1.0074312080703842</v>
      </c>
      <c r="H10" s="167">
        <f t="shared" si="1"/>
        <v>0.63124765021459228</v>
      </c>
      <c r="I10" s="144">
        <f>F10/F14</f>
        <v>2.3297559106646236E-2</v>
      </c>
    </row>
    <row r="11" spans="1:9" x14ac:dyDescent="0.25">
      <c r="A11" s="81">
        <v>200</v>
      </c>
      <c r="B11" s="716" t="s">
        <v>187</v>
      </c>
      <c r="C11" s="717"/>
      <c r="D11" s="145">
        <v>535248.78</v>
      </c>
      <c r="E11" s="5">
        <v>924035.53</v>
      </c>
      <c r="F11" s="145">
        <v>772864</v>
      </c>
      <c r="G11" s="167">
        <f t="shared" si="0"/>
        <v>1.4439341645953867</v>
      </c>
      <c r="H11" s="167">
        <f t="shared" si="1"/>
        <v>0.83640073883306199</v>
      </c>
      <c r="I11" s="144">
        <f>F11/F14</f>
        <v>3.0605382649363931E-2</v>
      </c>
    </row>
    <row r="12" spans="1:9" x14ac:dyDescent="0.25">
      <c r="A12" s="81">
        <v>300</v>
      </c>
      <c r="B12" s="716" t="s">
        <v>188</v>
      </c>
      <c r="C12" s="717"/>
      <c r="D12" s="145">
        <v>4076750.79</v>
      </c>
      <c r="E12" s="5">
        <v>15503693.220000001</v>
      </c>
      <c r="F12" s="145">
        <v>5854383.5199999996</v>
      </c>
      <c r="G12" s="167">
        <f t="shared" si="0"/>
        <v>1.4360415491573375</v>
      </c>
      <c r="H12" s="167">
        <f t="shared" si="1"/>
        <v>0.37761218807192054</v>
      </c>
      <c r="I12" s="144">
        <f>F12/F14</f>
        <v>0.23183334688344925</v>
      </c>
    </row>
    <row r="13" spans="1:9" x14ac:dyDescent="0.25">
      <c r="A13" s="81">
        <v>38</v>
      </c>
      <c r="B13" s="601" t="s">
        <v>518</v>
      </c>
      <c r="C13" s="602"/>
      <c r="D13" s="145"/>
      <c r="E13" s="145">
        <v>0</v>
      </c>
      <c r="F13" s="145"/>
      <c r="G13" s="167"/>
      <c r="H13" s="167"/>
      <c r="I13" s="144"/>
    </row>
    <row r="14" spans="1:9" x14ac:dyDescent="0.25">
      <c r="A14" s="146"/>
      <c r="B14" s="718" t="s">
        <v>84</v>
      </c>
      <c r="C14" s="719"/>
      <c r="D14" s="386">
        <f>D8+D9+D10+D11+D12</f>
        <v>17991127.989999998</v>
      </c>
      <c r="E14" s="386">
        <f>E8+E9+E10+E11+E12+E13</f>
        <v>37149369.609999999</v>
      </c>
      <c r="F14" s="386">
        <f>F8+F9+F10+F11+F12</f>
        <v>25252551.449999999</v>
      </c>
      <c r="G14" s="169">
        <f t="shared" si="0"/>
        <v>1.4036113502186252</v>
      </c>
      <c r="H14" s="169">
        <f t="shared" si="1"/>
        <v>0.67975719951927338</v>
      </c>
      <c r="I14" s="137">
        <f>SUM(I8:I12)</f>
        <v>1</v>
      </c>
    </row>
  </sheetData>
  <mergeCells count="8">
    <mergeCell ref="B12:C12"/>
    <mergeCell ref="B14:C14"/>
    <mergeCell ref="B5:C6"/>
    <mergeCell ref="G5:H5"/>
    <mergeCell ref="B8:C8"/>
    <mergeCell ref="B9:C9"/>
    <mergeCell ref="B10:C10"/>
    <mergeCell ref="B11:C1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FINAL I-IX 2023 </vt:lpstr>
      <vt:lpstr>Sheet1</vt:lpstr>
      <vt:lpstr>'FINAL I-IX 2023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2024-10-28T08:01:59Z</dcterms:modified>
</cp:coreProperties>
</file>