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hidePivotFieldList="1" defaultThemeVersion="124226"/>
  <xr:revisionPtr revIDLastSave="0" documentId="13_ncr:1_{002A12B8-586C-4A3C-ACA7-51EF1AF5C993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Sheet1" sheetId="1" r:id="rId1"/>
    <sheet name="Sheet2" sheetId="7" r:id="rId2"/>
  </sheets>
  <definedNames>
    <definedName name="_xlnm.Print_Area" localSheetId="0">Sheet1!$A$1:$I$2612</definedName>
  </definedNames>
  <calcPr calcId="181029"/>
</workbook>
</file>

<file path=xl/calcChain.xml><?xml version="1.0" encoding="utf-8"?>
<calcChain xmlns="http://schemas.openxmlformats.org/spreadsheetml/2006/main">
  <c r="M263" i="1" l="1"/>
  <c r="M261" i="1"/>
  <c r="L263" i="1"/>
  <c r="L262" i="1"/>
  <c r="L261" i="1"/>
  <c r="F257" i="1"/>
  <c r="J259" i="1"/>
  <c r="F1283" i="1"/>
  <c r="F1244" i="1"/>
  <c r="F1243" i="1"/>
  <c r="F1241" i="1"/>
  <c r="F1230" i="1"/>
  <c r="F1120" i="1"/>
  <c r="F1119" i="1"/>
  <c r="F768" i="1" l="1"/>
  <c r="F676" i="1"/>
  <c r="E679" i="1"/>
  <c r="F679" i="1"/>
  <c r="F599" i="1"/>
  <c r="F584" i="1"/>
  <c r="F564" i="1"/>
  <c r="F509" i="1"/>
  <c r="F475" i="1"/>
  <c r="F487" i="1" l="1"/>
  <c r="F483" i="1"/>
  <c r="E510" i="1"/>
  <c r="E402" i="1"/>
  <c r="F264" i="1" l="1"/>
  <c r="F255" i="1"/>
  <c r="E707" i="1" l="1"/>
  <c r="F486" i="1" l="1"/>
  <c r="E2263" i="1"/>
  <c r="F2263" i="1"/>
  <c r="E2261" i="1"/>
  <c r="F2261" i="1"/>
  <c r="E2260" i="1"/>
  <c r="F2260" i="1"/>
  <c r="H2260" i="1" s="1"/>
  <c r="E2259" i="1"/>
  <c r="F2259" i="1"/>
  <c r="D2263" i="1"/>
  <c r="D2261" i="1"/>
  <c r="D2260" i="1"/>
  <c r="D2259" i="1"/>
  <c r="H2262" i="1"/>
  <c r="G2262" i="1"/>
  <c r="H2259" i="1" l="1"/>
  <c r="G2260" i="1"/>
  <c r="H2261" i="1"/>
  <c r="H2263" i="1"/>
  <c r="E2264" i="1"/>
  <c r="D2264" i="1"/>
  <c r="F2264" i="1"/>
  <c r="G2263" i="1"/>
  <c r="G2261" i="1"/>
  <c r="G2259" i="1"/>
  <c r="I2262" i="1" l="1"/>
  <c r="H2264" i="1"/>
  <c r="I2260" i="1"/>
  <c r="G2264" i="1"/>
  <c r="I2261" i="1"/>
  <c r="I2263" i="1"/>
  <c r="I2259" i="1"/>
  <c r="I2264" i="1" l="1"/>
  <c r="F1628" i="1" l="1"/>
  <c r="I1069" i="1" l="1"/>
  <c r="H330" i="1"/>
  <c r="G330" i="1"/>
  <c r="H306" i="1"/>
  <c r="G306" i="1"/>
  <c r="D299" i="1"/>
  <c r="F300" i="1"/>
  <c r="H300" i="1" s="1"/>
  <c r="F299" i="1" l="1"/>
  <c r="G300" i="1"/>
  <c r="F350" i="1" l="1"/>
  <c r="F347" i="1"/>
  <c r="F349" i="1"/>
  <c r="F348" i="1" l="1"/>
  <c r="F211" i="1"/>
  <c r="F210" i="1"/>
  <c r="F1257" i="1" l="1"/>
  <c r="F1266" i="1"/>
  <c r="H1271" i="1"/>
  <c r="G1271" i="1"/>
  <c r="F1035" i="1"/>
  <c r="I1271" i="1" l="1"/>
  <c r="F707" i="1"/>
  <c r="G793" i="1"/>
  <c r="H793" i="1"/>
  <c r="G780" i="1"/>
  <c r="H780" i="1"/>
  <c r="H771" i="1"/>
  <c r="G771" i="1"/>
  <c r="H721" i="1" l="1"/>
  <c r="G721" i="1"/>
  <c r="H587" i="1"/>
  <c r="G587" i="1"/>
  <c r="F1123" i="1" l="1"/>
  <c r="F1121" i="1"/>
  <c r="F1009" i="1"/>
  <c r="F1007" i="1"/>
  <c r="F898" i="1"/>
  <c r="F897" i="1"/>
  <c r="F677" i="1"/>
  <c r="F675" i="1"/>
  <c r="F629" i="1"/>
  <c r="F568" i="1"/>
  <c r="F565" i="1"/>
  <c r="E460" i="1"/>
  <c r="H458" i="1"/>
  <c r="G458" i="1"/>
  <c r="F510" i="1"/>
  <c r="F508" i="1"/>
  <c r="F507" i="1"/>
  <c r="F499" i="1"/>
  <c r="F498" i="1"/>
  <c r="F496" i="1"/>
  <c r="F495" i="1"/>
  <c r="F494" i="1"/>
  <c r="F493" i="1"/>
  <c r="F491" i="1"/>
  <c r="F490" i="1"/>
  <c r="F489" i="1"/>
  <c r="F485" i="1"/>
  <c r="F484" i="1"/>
  <c r="F481" i="1"/>
  <c r="F480" i="1"/>
  <c r="F479" i="1"/>
  <c r="F478" i="1"/>
  <c r="F477" i="1"/>
  <c r="F476" i="1"/>
  <c r="F473" i="1"/>
  <c r="F570" i="1" l="1"/>
  <c r="E564" i="1"/>
  <c r="E509" i="1"/>
  <c r="E508" i="1"/>
  <c r="E507" i="1"/>
  <c r="E499" i="1"/>
  <c r="E498" i="1"/>
  <c r="E496" i="1"/>
  <c r="E495" i="1"/>
  <c r="E494" i="1"/>
  <c r="E493" i="1"/>
  <c r="E491" i="1"/>
  <c r="E490" i="1"/>
  <c r="E489" i="1"/>
  <c r="E487" i="1"/>
  <c r="E486" i="1"/>
  <c r="E485" i="1"/>
  <c r="E484" i="1"/>
  <c r="E483" i="1"/>
  <c r="E481" i="1"/>
  <c r="E480" i="1"/>
  <c r="E479" i="1"/>
  <c r="E478" i="1"/>
  <c r="E477" i="1"/>
  <c r="E476" i="1"/>
  <c r="E475" i="1"/>
  <c r="E473" i="1"/>
  <c r="D18" i="7"/>
  <c r="E675" i="1" l="1"/>
  <c r="E568" i="1"/>
  <c r="H336" i="1" l="1"/>
  <c r="H326" i="1"/>
  <c r="G326" i="1"/>
  <c r="H311" i="1"/>
  <c r="G311" i="1"/>
  <c r="G242" i="1"/>
  <c r="E457" i="1"/>
  <c r="E456" i="1"/>
  <c r="E455" i="1"/>
  <c r="H1245" i="1" l="1"/>
  <c r="G1240" i="1"/>
  <c r="H1240" i="1"/>
  <c r="H1256" i="1"/>
  <c r="G1256" i="1"/>
  <c r="H1262" i="1"/>
  <c r="H1260" i="1"/>
  <c r="G1260" i="1"/>
  <c r="D1266" i="1"/>
  <c r="G1266" i="1" s="1"/>
  <c r="D1252" i="1"/>
  <c r="D1239" i="1"/>
  <c r="D1236" i="1"/>
  <c r="D1225" i="1" s="1"/>
  <c r="E1255" i="1"/>
  <c r="H1255" i="1" s="1"/>
  <c r="E1253" i="1"/>
  <c r="E1251" i="1"/>
  <c r="E1244" i="1"/>
  <c r="H1244" i="1" s="1"/>
  <c r="E1243" i="1"/>
  <c r="E1242" i="1"/>
  <c r="E1241" i="1"/>
  <c r="E1239" i="1"/>
  <c r="H1237" i="1"/>
  <c r="G1237" i="1"/>
  <c r="H1235" i="1"/>
  <c r="G1235" i="1"/>
  <c r="E1234" i="1"/>
  <c r="E1233" i="1"/>
  <c r="E1232" i="1"/>
  <c r="E1231" i="1"/>
  <c r="E1229" i="1"/>
  <c r="E1228" i="1"/>
  <c r="E1227" i="1"/>
  <c r="E1226" i="1"/>
  <c r="E1198" i="1"/>
  <c r="D1198" i="1"/>
  <c r="E1123" i="1"/>
  <c r="E1287" i="1" s="1"/>
  <c r="E1122" i="1"/>
  <c r="E1286" i="1" s="1"/>
  <c r="E1121" i="1"/>
  <c r="E1285" i="1" s="1"/>
  <c r="E1120" i="1"/>
  <c r="E1119" i="1"/>
  <c r="D1123" i="1"/>
  <c r="D1121" i="1"/>
  <c r="D1120" i="1"/>
  <c r="D1119" i="1"/>
  <c r="I1071" i="1"/>
  <c r="F1083" i="1"/>
  <c r="I1085" i="1" s="1"/>
  <c r="E1083" i="1"/>
  <c r="D1083" i="1"/>
  <c r="E1068" i="1"/>
  <c r="F1068" i="1"/>
  <c r="D1068" i="1"/>
  <c r="E1033" i="1"/>
  <c r="E1031" i="1"/>
  <c r="H1030" i="1"/>
  <c r="G1030" i="1"/>
  <c r="G1026" i="1"/>
  <c r="H1026" i="1"/>
  <c r="H1024" i="1"/>
  <c r="G1024" i="1"/>
  <c r="E1010" i="1"/>
  <c r="E1008" i="1"/>
  <c r="E1007" i="1"/>
  <c r="E1006" i="1"/>
  <c r="D1009" i="1"/>
  <c r="D1008" i="1"/>
  <c r="D1007" i="1"/>
  <c r="H970" i="1"/>
  <c r="G970" i="1"/>
  <c r="E918" i="1"/>
  <c r="E899" i="1"/>
  <c r="E898" i="1"/>
  <c r="E897" i="1"/>
  <c r="D898" i="1"/>
  <c r="D897" i="1"/>
  <c r="H863" i="1"/>
  <c r="G863" i="1"/>
  <c r="E796" i="1"/>
  <c r="E770" i="1"/>
  <c r="E763" i="1"/>
  <c r="E762" i="1"/>
  <c r="E733" i="1"/>
  <c r="H735" i="1"/>
  <c r="G735" i="1"/>
  <c r="G712" i="1"/>
  <c r="H712" i="1"/>
  <c r="G713" i="1"/>
  <c r="H713" i="1"/>
  <c r="D768" i="1"/>
  <c r="D767" i="1"/>
  <c r="D763" i="1"/>
  <c r="D762" i="1"/>
  <c r="D751" i="1"/>
  <c r="D747" i="1"/>
  <c r="D746" i="1"/>
  <c r="D741" i="1"/>
  <c r="D731" i="1"/>
  <c r="E798" i="1"/>
  <c r="E677" i="1"/>
  <c r="E676" i="1"/>
  <c r="D679" i="1"/>
  <c r="D677" i="1"/>
  <c r="D676" i="1"/>
  <c r="D675" i="1"/>
  <c r="E1225" i="1" l="1"/>
  <c r="I1084" i="1"/>
  <c r="H637" i="1" l="1"/>
  <c r="G637" i="1"/>
  <c r="H594" i="1"/>
  <c r="H595" i="1"/>
  <c r="H596" i="1"/>
  <c r="H597" i="1"/>
  <c r="H598" i="1"/>
  <c r="G594" i="1"/>
  <c r="G595" i="1"/>
  <c r="G596" i="1"/>
  <c r="G597" i="1"/>
  <c r="G598" i="1"/>
  <c r="H590" i="1"/>
  <c r="G590" i="1"/>
  <c r="E565" i="1"/>
  <c r="D568" i="1"/>
  <c r="D566" i="1"/>
  <c r="D565" i="1"/>
  <c r="D564" i="1"/>
  <c r="D510" i="1"/>
  <c r="D509" i="1"/>
  <c r="D508" i="1"/>
  <c r="D507" i="1"/>
  <c r="D499" i="1"/>
  <c r="D498" i="1"/>
  <c r="D495" i="1"/>
  <c r="D494" i="1"/>
  <c r="D493" i="1"/>
  <c r="D491" i="1"/>
  <c r="D490" i="1"/>
  <c r="D489" i="1"/>
  <c r="D487" i="1"/>
  <c r="D486" i="1"/>
  <c r="D485" i="1"/>
  <c r="D484" i="1"/>
  <c r="D483" i="1"/>
  <c r="D481" i="1"/>
  <c r="D480" i="1"/>
  <c r="D479" i="1"/>
  <c r="D478" i="1"/>
  <c r="D477" i="1"/>
  <c r="D476" i="1"/>
  <c r="D475" i="1"/>
  <c r="D473" i="1"/>
  <c r="E401" i="1"/>
  <c r="E309" i="1"/>
  <c r="D349" i="1"/>
  <c r="D348" i="1" s="1"/>
  <c r="D347" i="1"/>
  <c r="F346" i="1"/>
  <c r="D328" i="1"/>
  <c r="D289" i="1"/>
  <c r="H202" i="1"/>
  <c r="H203" i="1"/>
  <c r="G203" i="1"/>
  <c r="G202" i="1"/>
  <c r="F201" i="1"/>
  <c r="E201" i="1"/>
  <c r="G460" i="1" l="1"/>
  <c r="E2511" i="1" l="1"/>
  <c r="F1403" i="1" l="1"/>
  <c r="F1404" i="1"/>
  <c r="E1403" i="1"/>
  <c r="E1404" i="1"/>
  <c r="D1403" i="1"/>
  <c r="D1404" i="1"/>
  <c r="H1404" i="1" l="1"/>
  <c r="H1403" i="1"/>
  <c r="G1404" i="1"/>
  <c r="G1403" i="1"/>
  <c r="H1270" i="1"/>
  <c r="G1270" i="1"/>
  <c r="H1269" i="1"/>
  <c r="G1269" i="1"/>
  <c r="F1208" i="1"/>
  <c r="H1034" i="1"/>
  <c r="G1034" i="1"/>
  <c r="I1270" i="1" l="1"/>
  <c r="I1269" i="1"/>
  <c r="D346" i="1"/>
  <c r="F2510" i="1" l="1"/>
  <c r="F328" i="1"/>
  <c r="I327" i="1" l="1"/>
  <c r="I326" i="1"/>
  <c r="F247" i="1"/>
  <c r="G246" i="1"/>
  <c r="H246" i="1" s="1"/>
  <c r="D247" i="1"/>
  <c r="G245" i="1"/>
  <c r="H245" i="1" s="1"/>
  <c r="I245" i="1" l="1"/>
  <c r="I246" i="1"/>
  <c r="E2591" i="1"/>
  <c r="F2591" i="1"/>
  <c r="E2527" i="1"/>
  <c r="F2527" i="1"/>
  <c r="D2527" i="1"/>
  <c r="E2402" i="1"/>
  <c r="F2402" i="1"/>
  <c r="D2402" i="1"/>
  <c r="E2347" i="1"/>
  <c r="F2347" i="1"/>
  <c r="D2347" i="1"/>
  <c r="E2312" i="1"/>
  <c r="F2312" i="1"/>
  <c r="D2312" i="1"/>
  <c r="E2235" i="1"/>
  <c r="F2235" i="1"/>
  <c r="D2235" i="1"/>
  <c r="E2190" i="1"/>
  <c r="F2190" i="1"/>
  <c r="D2190" i="1"/>
  <c r="E2123" i="1"/>
  <c r="E2083" i="1"/>
  <c r="F2083" i="1"/>
  <c r="D2083" i="1"/>
  <c r="E2031" i="1"/>
  <c r="F2031" i="1"/>
  <c r="D2031" i="1"/>
  <c r="E1983" i="1"/>
  <c r="F1983" i="1"/>
  <c r="D1983" i="1"/>
  <c r="E1921" i="1"/>
  <c r="F1921" i="1"/>
  <c r="D1921" i="1"/>
  <c r="E1872" i="1"/>
  <c r="F1872" i="1"/>
  <c r="D1872" i="1"/>
  <c r="E1792" i="1"/>
  <c r="F1792" i="1"/>
  <c r="D1792" i="1"/>
  <c r="E1739" i="1"/>
  <c r="F1739" i="1"/>
  <c r="E1701" i="1"/>
  <c r="F1701" i="1"/>
  <c r="D1701" i="1"/>
  <c r="E1651" i="1"/>
  <c r="F1651" i="1"/>
  <c r="D1651" i="1"/>
  <c r="E1422" i="1"/>
  <c r="F1422" i="1"/>
  <c r="D1422" i="1"/>
  <c r="F1342" i="1"/>
  <c r="D1342" i="1"/>
  <c r="E2590" i="1"/>
  <c r="F2590" i="1"/>
  <c r="D2590" i="1"/>
  <c r="E2526" i="1"/>
  <c r="F2526" i="1"/>
  <c r="D2526" i="1"/>
  <c r="E2465" i="1"/>
  <c r="F2465" i="1"/>
  <c r="D2465" i="1"/>
  <c r="E2401" i="1"/>
  <c r="F2401" i="1"/>
  <c r="D2401" i="1"/>
  <c r="E2346" i="1"/>
  <c r="F2346" i="1"/>
  <c r="D2346" i="1"/>
  <c r="E2311" i="1"/>
  <c r="F2311" i="1"/>
  <c r="D2311" i="1"/>
  <c r="E2234" i="1"/>
  <c r="F2234" i="1"/>
  <c r="D2234" i="1"/>
  <c r="E2189" i="1"/>
  <c r="F2189" i="1"/>
  <c r="D2189" i="1"/>
  <c r="E2122" i="1"/>
  <c r="F2122" i="1"/>
  <c r="D2122" i="1"/>
  <c r="E2082" i="1"/>
  <c r="F2082" i="1"/>
  <c r="D2082" i="1"/>
  <c r="E2030" i="1"/>
  <c r="F2030" i="1"/>
  <c r="D2030" i="1"/>
  <c r="E1982" i="1"/>
  <c r="F1982" i="1"/>
  <c r="D1982" i="1"/>
  <c r="E1920" i="1"/>
  <c r="F1920" i="1"/>
  <c r="D1920" i="1"/>
  <c r="E1871" i="1"/>
  <c r="F1871" i="1"/>
  <c r="D1871" i="1"/>
  <c r="E1791" i="1"/>
  <c r="F1791" i="1"/>
  <c r="D1791" i="1"/>
  <c r="E1738" i="1"/>
  <c r="F1738" i="1"/>
  <c r="D1738" i="1"/>
  <c r="E1700" i="1"/>
  <c r="F1700" i="1"/>
  <c r="D1700" i="1"/>
  <c r="E1650" i="1"/>
  <c r="F1650" i="1"/>
  <c r="D1650" i="1"/>
  <c r="E1587" i="1"/>
  <c r="F1587" i="1"/>
  <c r="D1587" i="1"/>
  <c r="E1565" i="1"/>
  <c r="F1565" i="1"/>
  <c r="D1565" i="1"/>
  <c r="E1532" i="1"/>
  <c r="F1532" i="1"/>
  <c r="D1532" i="1"/>
  <c r="E1476" i="1"/>
  <c r="F1476" i="1"/>
  <c r="D1476" i="1"/>
  <c r="E1452" i="1"/>
  <c r="F1452" i="1"/>
  <c r="D1452" i="1"/>
  <c r="E1421" i="1"/>
  <c r="F1421" i="1"/>
  <c r="D1421" i="1"/>
  <c r="E1341" i="1"/>
  <c r="F1341" i="1"/>
  <c r="D1341" i="1"/>
  <c r="F2589" i="1"/>
  <c r="D2589" i="1"/>
  <c r="F2525" i="1"/>
  <c r="D2525" i="1"/>
  <c r="F2464" i="1"/>
  <c r="D2464" i="1"/>
  <c r="E2400" i="1"/>
  <c r="F2400" i="1"/>
  <c r="D2400" i="1"/>
  <c r="E2345" i="1"/>
  <c r="F2345" i="1"/>
  <c r="D2345" i="1"/>
  <c r="E2310" i="1"/>
  <c r="F2310" i="1"/>
  <c r="D2310" i="1"/>
  <c r="E2233" i="1"/>
  <c r="F2233" i="1"/>
  <c r="D2233" i="1"/>
  <c r="E2188" i="1"/>
  <c r="F2188" i="1"/>
  <c r="D2188" i="1"/>
  <c r="F2121" i="1"/>
  <c r="F2081" i="1"/>
  <c r="D2081" i="1"/>
  <c r="F2029" i="1"/>
  <c r="D2029" i="1"/>
  <c r="F1981" i="1"/>
  <c r="D1981" i="1"/>
  <c r="F1919" i="1"/>
  <c r="D1919" i="1"/>
  <c r="F1870" i="1"/>
  <c r="D1870" i="1"/>
  <c r="E1737" i="1"/>
  <c r="F1737" i="1"/>
  <c r="D1737" i="1"/>
  <c r="E1699" i="1"/>
  <c r="F1699" i="1"/>
  <c r="D1699" i="1"/>
  <c r="F1649" i="1"/>
  <c r="D1649" i="1"/>
  <c r="F1586" i="1"/>
  <c r="D1586" i="1"/>
  <c r="F1564" i="1"/>
  <c r="D1564" i="1"/>
  <c r="F1531" i="1"/>
  <c r="D1531" i="1"/>
  <c r="F1475" i="1"/>
  <c r="D1475" i="1"/>
  <c r="F1451" i="1"/>
  <c r="D1451" i="1"/>
  <c r="E1420" i="1"/>
  <c r="F1420" i="1"/>
  <c r="D1420" i="1"/>
  <c r="F1340" i="1"/>
  <c r="D1340" i="1"/>
  <c r="E2588" i="1" l="1"/>
  <c r="F2588" i="1"/>
  <c r="D2588" i="1"/>
  <c r="E2524" i="1"/>
  <c r="F2524" i="1"/>
  <c r="D2524" i="1"/>
  <c r="E2463" i="1"/>
  <c r="F2463" i="1"/>
  <c r="D2463" i="1"/>
  <c r="E2399" i="1"/>
  <c r="F2399" i="1"/>
  <c r="D2399" i="1"/>
  <c r="E2344" i="1"/>
  <c r="F2344" i="1"/>
  <c r="D2344" i="1"/>
  <c r="E2309" i="1"/>
  <c r="F2309" i="1"/>
  <c r="D2309" i="1"/>
  <c r="E2232" i="1"/>
  <c r="F2232" i="1"/>
  <c r="D2232" i="1"/>
  <c r="E2187" i="1"/>
  <c r="F2187" i="1"/>
  <c r="D2187" i="1"/>
  <c r="E2120" i="1"/>
  <c r="F2120" i="1"/>
  <c r="D2120" i="1"/>
  <c r="E2080" i="1"/>
  <c r="F2080" i="1"/>
  <c r="D2080" i="1"/>
  <c r="E2028" i="1"/>
  <c r="F2028" i="1"/>
  <c r="D2028" i="1"/>
  <c r="E1980" i="1"/>
  <c r="F1980" i="1"/>
  <c r="D1980" i="1"/>
  <c r="E1918" i="1"/>
  <c r="F1918" i="1"/>
  <c r="D1918" i="1"/>
  <c r="E1869" i="1"/>
  <c r="F1869" i="1"/>
  <c r="D1869" i="1"/>
  <c r="E1789" i="1"/>
  <c r="F1789" i="1"/>
  <c r="D1789" i="1"/>
  <c r="E1736" i="1"/>
  <c r="F1736" i="1"/>
  <c r="D1736" i="1"/>
  <c r="E1698" i="1"/>
  <c r="F1698" i="1"/>
  <c r="D1698" i="1"/>
  <c r="E1648" i="1"/>
  <c r="F1648" i="1"/>
  <c r="D1648" i="1"/>
  <c r="E1585" i="1"/>
  <c r="F1585" i="1"/>
  <c r="D1585" i="1"/>
  <c r="E1563" i="1"/>
  <c r="F1563" i="1"/>
  <c r="D1563" i="1"/>
  <c r="E1530" i="1"/>
  <c r="F1530" i="1"/>
  <c r="D1530" i="1"/>
  <c r="E1474" i="1"/>
  <c r="F1474" i="1"/>
  <c r="D1474" i="1"/>
  <c r="E1450" i="1"/>
  <c r="F1450" i="1"/>
  <c r="D1450" i="1"/>
  <c r="E1419" i="1"/>
  <c r="F1419" i="1"/>
  <c r="D1419" i="1"/>
  <c r="E1339" i="1"/>
  <c r="F1339" i="1"/>
  <c r="D1339" i="1"/>
  <c r="D2568" i="1" l="1"/>
  <c r="E2568" i="1"/>
  <c r="E2567" i="1" s="1"/>
  <c r="F2568" i="1"/>
  <c r="F2567" i="1" s="1"/>
  <c r="E2566" i="1"/>
  <c r="F2566" i="1"/>
  <c r="D2510" i="1"/>
  <c r="D2512" i="1" s="1"/>
  <c r="D2511" i="1"/>
  <c r="E2509" i="1"/>
  <c r="F2509" i="1"/>
  <c r="F2512" i="1" s="1"/>
  <c r="D2509" i="1"/>
  <c r="E2453" i="1"/>
  <c r="E2452" i="1"/>
  <c r="F2452" i="1"/>
  <c r="D2452" i="1"/>
  <c r="E2294" i="1"/>
  <c r="E2295" i="1"/>
  <c r="F2295" i="1"/>
  <c r="I2295" i="1" s="1"/>
  <c r="D2295" i="1"/>
  <c r="F2294" i="1"/>
  <c r="D2294" i="1"/>
  <c r="F2290" i="1"/>
  <c r="F2291" i="1"/>
  <c r="E2290" i="1"/>
  <c r="E2291" i="1"/>
  <c r="E2289" i="1"/>
  <c r="F2289" i="1"/>
  <c r="D2290" i="1"/>
  <c r="D2291" i="1"/>
  <c r="D2289" i="1"/>
  <c r="E2175" i="1"/>
  <c r="F2175" i="1"/>
  <c r="D2175" i="1"/>
  <c r="F2065" i="1"/>
  <c r="E2065" i="1"/>
  <c r="E2064" i="1"/>
  <c r="F2064" i="1"/>
  <c r="D2065" i="1"/>
  <c r="D2064" i="1"/>
  <c r="F2008" i="1"/>
  <c r="F2009" i="1"/>
  <c r="F2010" i="1"/>
  <c r="F2011" i="1"/>
  <c r="E2008" i="1"/>
  <c r="E2009" i="1"/>
  <c r="E2010" i="1"/>
  <c r="E2011" i="1"/>
  <c r="E2007" i="1"/>
  <c r="F2007" i="1"/>
  <c r="D2008" i="1"/>
  <c r="D2009" i="1"/>
  <c r="D2010" i="1"/>
  <c r="D2011" i="1"/>
  <c r="D2007" i="1"/>
  <c r="F1956" i="1"/>
  <c r="F1957" i="1"/>
  <c r="F1958" i="1"/>
  <c r="F1959" i="1"/>
  <c r="F1960" i="1"/>
  <c r="E1956" i="1"/>
  <c r="E1957" i="1"/>
  <c r="E1958" i="1"/>
  <c r="E1959" i="1"/>
  <c r="E1960" i="1"/>
  <c r="E1955" i="1"/>
  <c r="F1955" i="1"/>
  <c r="D1956" i="1"/>
  <c r="D1957" i="1"/>
  <c r="D1958" i="1"/>
  <c r="D1959" i="1"/>
  <c r="D1960" i="1"/>
  <c r="D1955" i="1"/>
  <c r="G2291" i="1" l="1"/>
  <c r="E1961" i="1"/>
  <c r="H1957" i="1"/>
  <c r="G1957" i="1"/>
  <c r="D2293" i="1"/>
  <c r="F2293" i="1"/>
  <c r="H2295" i="1"/>
  <c r="D2292" i="1"/>
  <c r="G2295" i="1"/>
  <c r="H2007" i="1"/>
  <c r="G2007" i="1"/>
  <c r="G2008" i="1"/>
  <c r="H2008" i="1"/>
  <c r="E2292" i="1"/>
  <c r="D2012" i="1"/>
  <c r="E2012" i="1"/>
  <c r="D1961" i="1"/>
  <c r="G2294" i="1"/>
  <c r="H2294" i="1"/>
  <c r="F2292" i="1"/>
  <c r="I2291" i="1" s="1"/>
  <c r="H2291" i="1"/>
  <c r="E1907" i="1"/>
  <c r="E1906" i="1" s="1"/>
  <c r="F1907" i="1"/>
  <c r="F1906" i="1" s="1"/>
  <c r="D1907" i="1"/>
  <c r="D1906" i="1" s="1"/>
  <c r="E1904" i="1"/>
  <c r="F1904" i="1"/>
  <c r="E1903" i="1"/>
  <c r="F1903" i="1"/>
  <c r="E1902" i="1"/>
  <c r="F1902" i="1"/>
  <c r="E1901" i="1"/>
  <c r="F1901" i="1"/>
  <c r="E1900" i="1"/>
  <c r="F1900" i="1"/>
  <c r="E1899" i="1"/>
  <c r="F1899" i="1"/>
  <c r="D1900" i="1"/>
  <c r="D1901" i="1"/>
  <c r="D1902" i="1"/>
  <c r="D1903" i="1"/>
  <c r="D1904" i="1"/>
  <c r="D1899" i="1"/>
  <c r="E1852" i="1"/>
  <c r="F1852" i="1"/>
  <c r="D1852" i="1"/>
  <c r="E1851" i="1"/>
  <c r="D1851" i="1"/>
  <c r="E1849" i="1"/>
  <c r="F1849" i="1"/>
  <c r="E1848" i="1"/>
  <c r="F1848" i="1"/>
  <c r="E1847" i="1"/>
  <c r="F1847" i="1"/>
  <c r="E1846" i="1"/>
  <c r="F1846" i="1"/>
  <c r="E1845" i="1"/>
  <c r="F1845" i="1"/>
  <c r="D1846" i="1"/>
  <c r="D1847" i="1"/>
  <c r="D1848" i="1"/>
  <c r="D1849" i="1"/>
  <c r="D1845" i="1"/>
  <c r="E1844" i="1"/>
  <c r="F1844" i="1"/>
  <c r="E1843" i="1"/>
  <c r="F1843" i="1"/>
  <c r="E1842" i="1"/>
  <c r="F1842" i="1"/>
  <c r="E1841" i="1"/>
  <c r="F1841" i="1"/>
  <c r="D1842" i="1"/>
  <c r="D1843" i="1"/>
  <c r="D1844" i="1"/>
  <c r="D1841" i="1"/>
  <c r="E1676" i="1"/>
  <c r="F1676" i="1"/>
  <c r="E1675" i="1"/>
  <c r="F1675" i="1"/>
  <c r="D1676" i="1"/>
  <c r="D1675" i="1"/>
  <c r="D1628" i="1"/>
  <c r="E1626" i="1"/>
  <c r="F1626" i="1"/>
  <c r="D1626" i="1"/>
  <c r="F1620" i="1"/>
  <c r="F1621" i="1"/>
  <c r="F1622" i="1"/>
  <c r="F1623" i="1"/>
  <c r="F1624" i="1"/>
  <c r="F1619" i="1"/>
  <c r="E1620" i="1"/>
  <c r="E1621" i="1"/>
  <c r="E1622" i="1"/>
  <c r="E1623" i="1"/>
  <c r="E1624" i="1"/>
  <c r="E1619" i="1"/>
  <c r="D1620" i="1"/>
  <c r="D1621" i="1"/>
  <c r="D1622" i="1"/>
  <c r="D1623" i="1"/>
  <c r="D1624" i="1"/>
  <c r="D1619" i="1"/>
  <c r="E1512" i="1"/>
  <c r="F1512" i="1"/>
  <c r="D1512" i="1"/>
  <c r="F1507" i="1"/>
  <c r="F1508" i="1"/>
  <c r="F1509" i="1"/>
  <c r="F1510" i="1"/>
  <c r="F1506" i="1"/>
  <c r="E1507" i="1"/>
  <c r="E1508" i="1"/>
  <c r="E1509" i="1"/>
  <c r="E1510" i="1"/>
  <c r="E1506" i="1"/>
  <c r="D1507" i="1"/>
  <c r="D1508" i="1"/>
  <c r="D1509" i="1"/>
  <c r="D1510" i="1"/>
  <c r="D1506" i="1"/>
  <c r="F1396" i="1"/>
  <c r="F1397" i="1"/>
  <c r="F1398" i="1"/>
  <c r="F1399" i="1"/>
  <c r="F1400" i="1"/>
  <c r="F1401" i="1"/>
  <c r="F1402" i="1"/>
  <c r="F1395" i="1"/>
  <c r="E1396" i="1"/>
  <c r="E1397" i="1"/>
  <c r="E1398" i="1"/>
  <c r="E1399" i="1"/>
  <c r="E1400" i="1"/>
  <c r="E1401" i="1"/>
  <c r="E1402" i="1"/>
  <c r="E1395" i="1"/>
  <c r="D1396" i="1"/>
  <c r="D1397" i="1"/>
  <c r="D1398" i="1"/>
  <c r="D1399" i="1"/>
  <c r="D1400" i="1"/>
  <c r="D1401" i="1"/>
  <c r="D1402" i="1"/>
  <c r="D1395" i="1"/>
  <c r="E2587" i="1"/>
  <c r="F2587" i="1"/>
  <c r="D2587" i="1"/>
  <c r="E2523" i="1"/>
  <c r="F2523" i="1"/>
  <c r="D2523" i="1"/>
  <c r="E2462" i="1"/>
  <c r="F2462" i="1"/>
  <c r="D2462" i="1"/>
  <c r="E2398" i="1"/>
  <c r="F2398" i="1"/>
  <c r="D2398" i="1"/>
  <c r="E2343" i="1"/>
  <c r="F2343" i="1"/>
  <c r="D2343" i="1"/>
  <c r="E2308" i="1"/>
  <c r="F2308" i="1"/>
  <c r="D2308" i="1"/>
  <c r="E2231" i="1"/>
  <c r="F2231" i="1"/>
  <c r="D2231" i="1"/>
  <c r="E2186" i="1"/>
  <c r="F2186" i="1"/>
  <c r="D2186" i="1"/>
  <c r="E2119" i="1"/>
  <c r="F2119" i="1"/>
  <c r="D2119" i="1"/>
  <c r="E2079" i="1"/>
  <c r="F2079" i="1"/>
  <c r="D2079" i="1"/>
  <c r="E2027" i="1"/>
  <c r="F2027" i="1"/>
  <c r="D2027" i="1"/>
  <c r="E1979" i="1"/>
  <c r="F1979" i="1"/>
  <c r="D1979" i="1"/>
  <c r="E1917" i="1"/>
  <c r="F1917" i="1"/>
  <c r="D1917" i="1"/>
  <c r="E1868" i="1"/>
  <c r="F1868" i="1"/>
  <c r="D1868" i="1"/>
  <c r="E1788" i="1"/>
  <c r="F1788" i="1"/>
  <c r="D1788" i="1"/>
  <c r="E1735" i="1"/>
  <c r="F1735" i="1"/>
  <c r="D1735" i="1"/>
  <c r="E1697" i="1"/>
  <c r="F1697" i="1"/>
  <c r="D1697" i="1"/>
  <c r="E1647" i="1"/>
  <c r="F1647" i="1"/>
  <c r="D1647" i="1"/>
  <c r="E1584" i="1"/>
  <c r="F1584" i="1"/>
  <c r="D1584" i="1"/>
  <c r="E1562" i="1"/>
  <c r="F1562" i="1"/>
  <c r="D1562" i="1"/>
  <c r="E1529" i="1"/>
  <c r="F1529" i="1"/>
  <c r="D1529" i="1"/>
  <c r="E1473" i="1"/>
  <c r="F1473" i="1"/>
  <c r="D1473" i="1"/>
  <c r="E1449" i="1"/>
  <c r="F1449" i="1"/>
  <c r="D1449" i="1"/>
  <c r="E1418" i="1"/>
  <c r="F1418" i="1"/>
  <c r="D1418" i="1"/>
  <c r="E1338" i="1"/>
  <c r="F1338" i="1"/>
  <c r="D1338" i="1"/>
  <c r="G1339" i="1"/>
  <c r="H1339" i="1"/>
  <c r="G1340" i="1"/>
  <c r="H1341" i="1"/>
  <c r="G1342" i="1"/>
  <c r="H1338" i="1" l="1"/>
  <c r="E1405" i="1"/>
  <c r="F1405" i="1"/>
  <c r="H1906" i="1"/>
  <c r="G1906" i="1"/>
  <c r="D1405" i="1"/>
  <c r="H1907" i="1"/>
  <c r="G1907" i="1"/>
  <c r="G1338" i="1"/>
  <c r="F1343" i="1"/>
  <c r="I1341" i="1" s="1"/>
  <c r="E1905" i="1"/>
  <c r="E1908" i="1" s="1"/>
  <c r="D1343" i="1"/>
  <c r="G1341" i="1"/>
  <c r="I1342" i="1" l="1"/>
  <c r="G1343" i="1"/>
  <c r="I1340" i="1"/>
  <c r="I1338" i="1"/>
  <c r="I1339" i="1"/>
  <c r="I1343" i="1" l="1"/>
  <c r="G1234" i="1"/>
  <c r="H1234" i="1"/>
  <c r="H1192" i="1"/>
  <c r="G1192" i="1"/>
  <c r="D1193" i="1"/>
  <c r="E1193" i="1"/>
  <c r="F1193" i="1"/>
  <c r="D1259" i="1"/>
  <c r="E1079" i="1"/>
  <c r="H1033" i="1"/>
  <c r="G1033" i="1"/>
  <c r="E919" i="1" l="1"/>
  <c r="H1193" i="1"/>
  <c r="G1193" i="1"/>
  <c r="D733" i="1" l="1"/>
  <c r="D693" i="1"/>
  <c r="H496" i="1"/>
  <c r="G496" i="1"/>
  <c r="H460" i="1"/>
  <c r="E316" i="1"/>
  <c r="E263" i="1"/>
  <c r="E247" i="1"/>
  <c r="D2566" i="1"/>
  <c r="D316" i="1"/>
  <c r="D309" i="1"/>
  <c r="E236" i="1" l="1"/>
  <c r="D204" i="1"/>
  <c r="F2012" i="1" l="1"/>
  <c r="I2007" i="1" s="1"/>
  <c r="F1961" i="1"/>
  <c r="I1958" i="1" l="1"/>
  <c r="I1957" i="1"/>
  <c r="F316" i="1"/>
  <c r="I311" i="1" s="1"/>
  <c r="F693" i="1" l="1"/>
  <c r="F741" i="1"/>
  <c r="F733" i="1" l="1"/>
  <c r="I735" i="1" s="1"/>
  <c r="E2466" i="1"/>
  <c r="E1188" i="1"/>
  <c r="E1184" i="1"/>
  <c r="E1178" i="1"/>
  <c r="E1176" i="1"/>
  <c r="E1588" i="1" s="1"/>
  <c r="E1175" i="1"/>
  <c r="E1566" i="1" s="1"/>
  <c r="E1174" i="1"/>
  <c r="E1533" i="1" s="1"/>
  <c r="E1173" i="1"/>
  <c r="E1477" i="1" s="1"/>
  <c r="E1172" i="1"/>
  <c r="E1453" i="1" s="1"/>
  <c r="E1169" i="1"/>
  <c r="E1342" i="1" s="1"/>
  <c r="H1342" i="1" s="1"/>
  <c r="D1511" i="1"/>
  <c r="E1170" i="1" l="1"/>
  <c r="E1196" i="1"/>
  <c r="E1201" i="1" l="1"/>
  <c r="E1406" i="1"/>
  <c r="D1261" i="1"/>
  <c r="D2591" i="1" l="1"/>
  <c r="D2466" i="1"/>
  <c r="E1126" i="1"/>
  <c r="E1029" i="1" l="1"/>
  <c r="E1028" i="1"/>
  <c r="E955" i="1"/>
  <c r="E1649" i="1" s="1"/>
  <c r="E954" i="1"/>
  <c r="E1586" i="1" s="1"/>
  <c r="E953" i="1"/>
  <c r="E1564" i="1" s="1"/>
  <c r="E952" i="1"/>
  <c r="E1531" i="1" s="1"/>
  <c r="E951" i="1"/>
  <c r="E1475" i="1" s="1"/>
  <c r="E950" i="1"/>
  <c r="E1451" i="1" s="1"/>
  <c r="D794" i="1"/>
  <c r="G744" i="1"/>
  <c r="H744" i="1"/>
  <c r="G745" i="1"/>
  <c r="H745" i="1"/>
  <c r="F746" i="1"/>
  <c r="F747" i="1"/>
  <c r="G748" i="1"/>
  <c r="H748" i="1"/>
  <c r="G749" i="1"/>
  <c r="H749" i="1"/>
  <c r="G750" i="1"/>
  <c r="H750" i="1"/>
  <c r="F751" i="1"/>
  <c r="H751" i="1" s="1"/>
  <c r="D600" i="1"/>
  <c r="E528" i="1"/>
  <c r="E1035" i="1" l="1"/>
  <c r="I1034" i="1" s="1"/>
  <c r="G746" i="1"/>
  <c r="H746" i="1"/>
  <c r="G751" i="1"/>
  <c r="G747" i="1"/>
  <c r="H747" i="1"/>
  <c r="I1033" i="1" l="1"/>
  <c r="D453" i="1"/>
  <c r="D461" i="1" s="1"/>
  <c r="D431" i="1"/>
  <c r="D353" i="1" l="1"/>
  <c r="D352" i="1"/>
  <c r="D333" i="1"/>
  <c r="D322" i="1"/>
  <c r="D188" i="1"/>
  <c r="F1627" i="1" l="1"/>
  <c r="E453" i="1"/>
  <c r="E461" i="1" s="1"/>
  <c r="H457" i="1"/>
  <c r="F265" i="1"/>
  <c r="F353" i="1" l="1"/>
  <c r="F352" i="1"/>
  <c r="F329" i="1" l="1"/>
  <c r="F2511" i="1"/>
  <c r="F324" i="1" l="1"/>
  <c r="I330" i="1"/>
  <c r="D2579" i="1"/>
  <c r="F2570" i="1"/>
  <c r="I2567" i="1" s="1"/>
  <c r="E2403" i="1"/>
  <c r="E2313" i="1"/>
  <c r="E2236" i="1"/>
  <c r="E2191" i="1"/>
  <c r="E2013" i="1"/>
  <c r="E1740" i="1"/>
  <c r="E1702" i="1"/>
  <c r="E1627" i="1"/>
  <c r="E1625" i="1"/>
  <c r="E1511" i="1"/>
  <c r="E1513" i="1" s="1"/>
  <c r="E1454" i="1"/>
  <c r="E1423" i="1"/>
  <c r="E1238" i="1"/>
  <c r="E1246" i="1"/>
  <c r="E1257" i="1"/>
  <c r="E1264" i="1"/>
  <c r="E1265" i="1"/>
  <c r="E1266" i="1"/>
  <c r="E1273" i="1"/>
  <c r="E1272" i="1" s="1"/>
  <c r="E1274" i="1"/>
  <c r="E1060" i="1"/>
  <c r="E978" i="1"/>
  <c r="E2589" i="1" s="1"/>
  <c r="E2592" i="1" s="1"/>
  <c r="E977" i="1"/>
  <c r="E2525" i="1" s="1"/>
  <c r="E976" i="1"/>
  <c r="E2464" i="1" s="1"/>
  <c r="E971" i="1"/>
  <c r="E967" i="1"/>
  <c r="E965" i="1"/>
  <c r="E2081" i="1" s="1"/>
  <c r="E2084" i="1" s="1"/>
  <c r="E964" i="1"/>
  <c r="E2029" i="1" s="1"/>
  <c r="E963" i="1"/>
  <c r="E1981" i="1" s="1"/>
  <c r="E961" i="1"/>
  <c r="E1919" i="1" s="1"/>
  <c r="E960" i="1"/>
  <c r="E1870" i="1" s="1"/>
  <c r="E1873" i="1" s="1"/>
  <c r="E959" i="1"/>
  <c r="E1790" i="1" s="1"/>
  <c r="E1793" i="1" s="1"/>
  <c r="E956" i="1"/>
  <c r="E947" i="1"/>
  <c r="E1340" i="1" s="1"/>
  <c r="I328" i="1" l="1"/>
  <c r="H1340" i="1"/>
  <c r="E1343" i="1"/>
  <c r="H1343" i="1" s="1"/>
  <c r="E966" i="1"/>
  <c r="E2121" i="1"/>
  <c r="E1248" i="1"/>
  <c r="E1652" i="1"/>
  <c r="E1534" i="1"/>
  <c r="E962" i="1"/>
  <c r="E2032" i="1"/>
  <c r="E2348" i="1"/>
  <c r="E1984" i="1"/>
  <c r="E1589" i="1"/>
  <c r="E948" i="1"/>
  <c r="E1922" i="1"/>
  <c r="E1629" i="1"/>
  <c r="E2528" i="1"/>
  <c r="E974" i="1"/>
  <c r="E2124" i="1"/>
  <c r="E1567" i="1"/>
  <c r="E1263" i="1"/>
  <c r="E2467" i="1"/>
  <c r="E979" i="1" l="1"/>
  <c r="E1289" i="1"/>
  <c r="E623" i="1"/>
  <c r="F600" i="1"/>
  <c r="I587" i="1" s="1"/>
  <c r="G599" i="1"/>
  <c r="H599" i="1"/>
  <c r="E492" i="1"/>
  <c r="F453" i="1"/>
  <c r="F461" i="1" s="1"/>
  <c r="G454" i="1"/>
  <c r="G455" i="1"/>
  <c r="G456" i="1"/>
  <c r="G457" i="1"/>
  <c r="I458" i="1" l="1"/>
  <c r="I460" i="1"/>
  <c r="I599" i="1"/>
  <c r="I598" i="1"/>
  <c r="I597" i="1"/>
  <c r="I596" i="1"/>
  <c r="I595" i="1"/>
  <c r="I590" i="1"/>
  <c r="I594" i="1"/>
  <c r="I457" i="1"/>
  <c r="I456" i="1"/>
  <c r="I455" i="1"/>
  <c r="I454" i="1"/>
  <c r="E497" i="1"/>
  <c r="F333" i="1"/>
  <c r="F337" i="1"/>
  <c r="F204" i="1"/>
  <c r="F334" i="1" l="1"/>
  <c r="F2453" i="1"/>
  <c r="F2297" i="1"/>
  <c r="I2294" i="1" s="1"/>
  <c r="F1905" i="1"/>
  <c r="F1677" i="1"/>
  <c r="D1513" i="1"/>
  <c r="F1908" i="1" l="1"/>
  <c r="I1900" i="1"/>
  <c r="I1901" i="1"/>
  <c r="I1904" i="1"/>
  <c r="I1902" i="1"/>
  <c r="I1903" i="1"/>
  <c r="I1899" i="1"/>
  <c r="D1905" i="1"/>
  <c r="D1908" i="1" s="1"/>
  <c r="D1625" i="1"/>
  <c r="D971" i="1"/>
  <c r="D864" i="1"/>
  <c r="D638" i="1"/>
  <c r="D570" i="1"/>
  <c r="D497" i="1"/>
  <c r="F399" i="1"/>
  <c r="I1907" i="1" l="1"/>
  <c r="I1906" i="1"/>
  <c r="D356" i="1"/>
  <c r="D329" i="1"/>
  <c r="D263" i="1" l="1"/>
  <c r="D254" i="1"/>
  <c r="E615" i="1" l="1"/>
  <c r="E638" i="1"/>
  <c r="H569" i="1"/>
  <c r="E570" i="1"/>
  <c r="E600" i="1" s="1"/>
  <c r="F474" i="1"/>
  <c r="F2013" i="1" l="1"/>
  <c r="I2008" i="1" s="1"/>
  <c r="F1850" i="1" l="1"/>
  <c r="F1511" i="1"/>
  <c r="G1085" i="1"/>
  <c r="H1085" i="1"/>
  <c r="F966" i="1"/>
  <c r="F836" i="1"/>
  <c r="G769" i="1"/>
  <c r="F615" i="1"/>
  <c r="I1510" i="1" l="1"/>
  <c r="I1506" i="1"/>
  <c r="I1507" i="1"/>
  <c r="H568" i="1"/>
  <c r="F356" i="1"/>
  <c r="F1625" i="1"/>
  <c r="I1623" i="1" s="1"/>
  <c r="F289" i="1"/>
  <c r="F309" i="1"/>
  <c r="F298" i="1"/>
  <c r="F291" i="1" s="1"/>
  <c r="H261" i="1"/>
  <c r="G261" i="1"/>
  <c r="F194" i="1"/>
  <c r="I299" i="1" l="1"/>
  <c r="I306" i="1"/>
  <c r="I305" i="1"/>
  <c r="F1851" i="1"/>
  <c r="H1648" i="1"/>
  <c r="G1648" i="1"/>
  <c r="G299" i="1"/>
  <c r="H299" i="1"/>
  <c r="F263" i="1"/>
  <c r="G305" i="1"/>
  <c r="H305" i="1"/>
  <c r="H276" i="1"/>
  <c r="G276" i="1"/>
  <c r="H289" i="1"/>
  <c r="G289" i="1"/>
  <c r="D2297" i="1"/>
  <c r="G1908" i="1"/>
  <c r="H1851" i="1"/>
  <c r="G1851" i="1"/>
  <c r="I1125" i="1"/>
  <c r="H1125" i="1"/>
  <c r="G1125" i="1"/>
  <c r="D1126" i="1"/>
  <c r="D859" i="1"/>
  <c r="D836" i="1"/>
  <c r="I261" i="1" l="1"/>
  <c r="K263" i="1"/>
  <c r="H454" i="1"/>
  <c r="H455" i="1"/>
  <c r="H456" i="1"/>
  <c r="D265" i="1"/>
  <c r="D256" i="1" s="1"/>
  <c r="F497" i="1" l="1"/>
  <c r="F482" i="1"/>
  <c r="D1406" i="1" l="1"/>
  <c r="F971" i="1" l="1"/>
  <c r="F1126" i="1" l="1"/>
  <c r="F1207" i="1"/>
  <c r="G1511" i="1"/>
  <c r="F1513" i="1"/>
  <c r="G569" i="1" l="1"/>
  <c r="F254" i="1"/>
  <c r="F322" i="1"/>
  <c r="F180" i="1"/>
  <c r="E1678" i="1" l="1"/>
  <c r="F1678" i="1"/>
  <c r="D1677" i="1"/>
  <c r="D1678" i="1" s="1"/>
  <c r="D707" i="1"/>
  <c r="D321" i="1"/>
  <c r="D248" i="1"/>
  <c r="D272" i="1"/>
  <c r="D269" i="1" s="1"/>
  <c r="D268" i="1" s="1"/>
  <c r="D198" i="1"/>
  <c r="D207" i="1"/>
  <c r="D194" i="1"/>
  <c r="D180" i="1"/>
  <c r="D236" i="1" l="1"/>
  <c r="D235" i="1" s="1"/>
  <c r="H1678" i="1"/>
  <c r="G1678" i="1"/>
  <c r="E2577" i="1" l="1"/>
  <c r="E2576" i="1" l="1"/>
  <c r="H331" i="1"/>
  <c r="G331" i="1"/>
  <c r="E329" i="1"/>
  <c r="I331" i="1"/>
  <c r="H2296" i="1"/>
  <c r="G2296" i="1"/>
  <c r="D1850" i="1"/>
  <c r="D1853" i="1" s="1"/>
  <c r="G2293" i="1" l="1"/>
  <c r="I2289" i="1" l="1"/>
  <c r="H2292" i="1"/>
  <c r="I2290" i="1"/>
  <c r="G2292" i="1"/>
  <c r="I2293" i="1" l="1"/>
  <c r="F1873" i="1"/>
  <c r="D1873" i="1"/>
  <c r="F506" i="1" l="1"/>
  <c r="F1740" i="1"/>
  <c r="G1032" i="1" l="1"/>
  <c r="H1032" i="1"/>
  <c r="E752" i="1"/>
  <c r="H753" i="1"/>
  <c r="G753" i="1"/>
  <c r="E788" i="1"/>
  <c r="I1032" i="1" l="1"/>
  <c r="I1026" i="1"/>
  <c r="I1024" i="1"/>
  <c r="I1030" i="1"/>
  <c r="E693" i="1"/>
  <c r="E703" i="1"/>
  <c r="F1060" i="1" l="1"/>
  <c r="G972" i="1"/>
  <c r="H972" i="1"/>
  <c r="G973" i="1"/>
  <c r="H973" i="1"/>
  <c r="E633" i="1" l="1"/>
  <c r="F641" i="1"/>
  <c r="E641" i="1"/>
  <c r="F638" i="1"/>
  <c r="E629" i="1"/>
  <c r="E646" i="1" s="1"/>
  <c r="E506" i="1"/>
  <c r="E488" i="1"/>
  <c r="E482" i="1"/>
  <c r="E474" i="1"/>
  <c r="F492" i="1"/>
  <c r="F488" i="1"/>
  <c r="F511" i="1" s="1"/>
  <c r="E256" i="1"/>
  <c r="E254" i="1"/>
  <c r="H329" i="1"/>
  <c r="G329" i="1"/>
  <c r="E356" i="1"/>
  <c r="E346" i="1"/>
  <c r="E2510" i="1" s="1"/>
  <c r="E511" i="1" l="1"/>
  <c r="I496" i="1"/>
  <c r="G352" i="1"/>
  <c r="H352" i="1"/>
  <c r="H353" i="1"/>
  <c r="G353" i="1"/>
  <c r="H1626" i="1"/>
  <c r="G1626" i="1"/>
  <c r="H1512" i="1"/>
  <c r="G1512" i="1"/>
  <c r="F2348" i="1"/>
  <c r="D2348" i="1"/>
  <c r="G2347" i="1"/>
  <c r="H2347" i="1"/>
  <c r="G2346" i="1"/>
  <c r="H2346" i="1"/>
  <c r="G2345" i="1"/>
  <c r="H2345" i="1"/>
  <c r="G2344" i="1"/>
  <c r="H2344" i="1"/>
  <c r="G2343" i="1"/>
  <c r="I1512" i="1" l="1"/>
  <c r="H2348" i="1"/>
  <c r="H1511" i="1"/>
  <c r="H2343" i="1"/>
  <c r="I2343" i="1"/>
  <c r="I2344" i="1"/>
  <c r="I2345" i="1"/>
  <c r="I2346" i="1"/>
  <c r="I2347" i="1"/>
  <c r="G2348" i="1"/>
  <c r="I1511" i="1" l="1"/>
  <c r="I2348" i="1"/>
  <c r="G1194" i="1" l="1"/>
  <c r="H1194" i="1"/>
  <c r="G1195" i="1"/>
  <c r="H1195" i="1"/>
  <c r="G1084" i="1"/>
  <c r="H1084" i="1"/>
  <c r="H865" i="1"/>
  <c r="G866" i="1"/>
  <c r="H866" i="1"/>
  <c r="G639" i="1" l="1"/>
  <c r="H639" i="1"/>
  <c r="G640" i="1"/>
  <c r="H640" i="1"/>
  <c r="I640" i="1"/>
  <c r="H638" i="1" l="1"/>
  <c r="G638" i="1"/>
  <c r="I639" i="1"/>
  <c r="H498" i="1"/>
  <c r="G499" i="1"/>
  <c r="H499" i="1"/>
  <c r="G205" i="1"/>
  <c r="H205" i="1"/>
  <c r="G206" i="1"/>
  <c r="H206" i="1"/>
  <c r="E248" i="1" l="1"/>
  <c r="F248" i="1"/>
  <c r="H255" i="1"/>
  <c r="G255" i="1"/>
  <c r="I255" i="1" l="1"/>
  <c r="I254" i="1"/>
  <c r="D1274" i="1"/>
  <c r="D1272" i="1"/>
  <c r="D1265" i="1"/>
  <c r="D1264" i="1"/>
  <c r="D1247" i="1"/>
  <c r="D1246" i="1" s="1"/>
  <c r="D1238" i="1"/>
  <c r="D1189" i="1"/>
  <c r="D2123" i="1" s="1"/>
  <c r="D1184" i="1"/>
  <c r="D1739" i="1"/>
  <c r="D1176" i="1"/>
  <c r="D1588" i="1" s="1"/>
  <c r="D1175" i="1"/>
  <c r="D1566" i="1" s="1"/>
  <c r="D1174" i="1"/>
  <c r="D1533" i="1" s="1"/>
  <c r="D1173" i="1"/>
  <c r="D1477" i="1" s="1"/>
  <c r="D1172" i="1"/>
  <c r="D1453" i="1" s="1"/>
  <c r="D1086" i="1"/>
  <c r="D1079" i="1"/>
  <c r="D1060" i="1"/>
  <c r="D1091" i="1" s="1"/>
  <c r="D1035" i="1"/>
  <c r="D974" i="1"/>
  <c r="D967" i="1"/>
  <c r="D962" i="1"/>
  <c r="D959" i="1"/>
  <c r="D1790" i="1" s="1"/>
  <c r="D956" i="1"/>
  <c r="D948" i="1"/>
  <c r="E864" i="1"/>
  <c r="F864" i="1"/>
  <c r="D850" i="1"/>
  <c r="D844" i="1"/>
  <c r="D791" i="1"/>
  <c r="D789" i="1"/>
  <c r="D785" i="1"/>
  <c r="D784" i="1"/>
  <c r="D782" i="1"/>
  <c r="G776" i="1"/>
  <c r="D758" i="1"/>
  <c r="D752" i="1"/>
  <c r="D703" i="1"/>
  <c r="E321" i="1"/>
  <c r="F321" i="1"/>
  <c r="D966" i="1" l="1"/>
  <c r="D2121" i="1"/>
  <c r="D979" i="1"/>
  <c r="I866" i="1"/>
  <c r="I865" i="1"/>
  <c r="G865" i="1"/>
  <c r="G498" i="1"/>
  <c r="D1263" i="1"/>
  <c r="D1248" i="1"/>
  <c r="D781" i="1"/>
  <c r="D1178" i="1"/>
  <c r="D474" i="1"/>
  <c r="D488" i="1"/>
  <c r="D615" i="1"/>
  <c r="D629" i="1"/>
  <c r="D759" i="1"/>
  <c r="D764" i="1"/>
  <c r="D641" i="1"/>
  <c r="D1188" i="1"/>
  <c r="D1196" i="1"/>
  <c r="D724" i="1"/>
  <c r="D800" i="1" s="1"/>
  <c r="D1170" i="1"/>
  <c r="D867" i="1"/>
  <c r="D872" i="1" s="1"/>
  <c r="D482" i="1"/>
  <c r="D492" i="1"/>
  <c r="D506" i="1"/>
  <c r="D623" i="1"/>
  <c r="D633" i="1"/>
  <c r="D743" i="1"/>
  <c r="D756" i="1"/>
  <c r="D1257" i="1"/>
  <c r="D212" i="1"/>
  <c r="E322" i="1"/>
  <c r="D344" i="1"/>
  <c r="D337" i="1"/>
  <c r="D324" i="1"/>
  <c r="D320" i="1"/>
  <c r="D317" i="1" s="1"/>
  <c r="D310" i="1"/>
  <c r="D302" i="1"/>
  <c r="D301" i="1" s="1"/>
  <c r="D298" i="1"/>
  <c r="D291" i="1" s="1"/>
  <c r="D288" i="1"/>
  <c r="E204" i="1"/>
  <c r="D1201" i="1" l="1"/>
  <c r="D511" i="1"/>
  <c r="D335" i="1"/>
  <c r="D334" i="1"/>
  <c r="D646" i="1"/>
  <c r="D274" i="1"/>
  <c r="D351" i="1"/>
  <c r="I498" i="1"/>
  <c r="I499" i="1"/>
  <c r="I206" i="1"/>
  <c r="I205" i="1"/>
  <c r="D1289" i="1"/>
  <c r="D332" i="1" l="1"/>
  <c r="D355" i="1"/>
  <c r="F2592" i="1"/>
  <c r="H2591" i="1"/>
  <c r="G2591" i="1"/>
  <c r="H2590" i="1"/>
  <c r="G2590" i="1"/>
  <c r="H2589" i="1"/>
  <c r="G2589" i="1"/>
  <c r="H2588" i="1"/>
  <c r="G2588" i="1"/>
  <c r="E2570" i="1"/>
  <c r="H2566" i="1"/>
  <c r="G2566" i="1"/>
  <c r="F2528" i="1"/>
  <c r="D2528" i="1"/>
  <c r="G2527" i="1"/>
  <c r="H2527" i="1"/>
  <c r="G2526" i="1"/>
  <c r="H2526" i="1"/>
  <c r="G2525" i="1"/>
  <c r="H2525" i="1"/>
  <c r="G2524" i="1"/>
  <c r="H2524" i="1"/>
  <c r="G2523" i="1"/>
  <c r="E2512" i="1"/>
  <c r="H2511" i="1"/>
  <c r="G2511" i="1"/>
  <c r="H2509" i="1"/>
  <c r="G2509" i="1"/>
  <c r="G2465" i="1"/>
  <c r="H2465" i="1"/>
  <c r="G2464" i="1"/>
  <c r="H2464" i="1"/>
  <c r="H2463" i="1"/>
  <c r="G2463" i="1"/>
  <c r="F2454" i="1"/>
  <c r="E2454" i="1"/>
  <c r="D2454" i="1"/>
  <c r="H2453" i="1"/>
  <c r="G2453" i="1"/>
  <c r="H2452" i="1"/>
  <c r="G2452" i="1"/>
  <c r="F2403" i="1"/>
  <c r="H2402" i="1"/>
  <c r="G2402" i="1"/>
  <c r="G2401" i="1"/>
  <c r="H2401" i="1"/>
  <c r="H2400" i="1"/>
  <c r="G2400" i="1"/>
  <c r="H2399" i="1"/>
  <c r="G2399" i="1"/>
  <c r="H2398" i="1"/>
  <c r="F2313" i="1"/>
  <c r="H2312" i="1"/>
  <c r="G2312" i="1"/>
  <c r="G2311" i="1"/>
  <c r="H2311" i="1"/>
  <c r="G2310" i="1"/>
  <c r="H2310" i="1"/>
  <c r="H2309" i="1"/>
  <c r="G2309" i="1"/>
  <c r="G2308" i="1"/>
  <c r="H2290" i="1"/>
  <c r="G2290" i="1"/>
  <c r="H2289" i="1"/>
  <c r="G2289" i="1"/>
  <c r="F2236" i="1"/>
  <c r="H2235" i="1"/>
  <c r="G2235" i="1"/>
  <c r="H2234" i="1"/>
  <c r="G2234" i="1"/>
  <c r="G2233" i="1"/>
  <c r="H2233" i="1"/>
  <c r="G2232" i="1"/>
  <c r="H2232" i="1"/>
  <c r="G2231" i="1"/>
  <c r="H2231" i="1"/>
  <c r="F2191" i="1"/>
  <c r="H2190" i="1"/>
  <c r="G2190" i="1"/>
  <c r="G2189" i="1"/>
  <c r="H2189" i="1"/>
  <c r="H2188" i="1"/>
  <c r="G2188" i="1"/>
  <c r="H2187" i="1"/>
  <c r="G2187" i="1"/>
  <c r="H2186" i="1"/>
  <c r="G2186" i="1"/>
  <c r="F2176" i="1"/>
  <c r="E2176" i="1"/>
  <c r="D2176" i="1"/>
  <c r="H2175" i="1"/>
  <c r="G2175" i="1"/>
  <c r="I2174" i="1"/>
  <c r="H2174" i="1"/>
  <c r="G2174" i="1"/>
  <c r="D2124" i="1"/>
  <c r="G2122" i="1"/>
  <c r="H2122" i="1"/>
  <c r="G2121" i="1"/>
  <c r="H2121" i="1"/>
  <c r="G2120" i="1"/>
  <c r="H2120" i="1"/>
  <c r="G2119" i="1"/>
  <c r="H2119" i="1"/>
  <c r="F2084" i="1"/>
  <c r="D2084" i="1"/>
  <c r="G2083" i="1"/>
  <c r="H2083" i="1"/>
  <c r="G2082" i="1"/>
  <c r="H2082" i="1"/>
  <c r="G2081" i="1"/>
  <c r="H2081" i="1"/>
  <c r="H2080" i="1"/>
  <c r="G2080" i="1"/>
  <c r="G2079" i="1"/>
  <c r="H2079" i="1"/>
  <c r="F2066" i="1"/>
  <c r="E2066" i="1"/>
  <c r="D2066" i="1"/>
  <c r="H2065" i="1"/>
  <c r="G2065" i="1"/>
  <c r="H2064" i="1"/>
  <c r="G2064" i="1"/>
  <c r="F2032" i="1"/>
  <c r="H2031" i="1"/>
  <c r="G2031" i="1"/>
  <c r="G2030" i="1"/>
  <c r="H2030" i="1"/>
  <c r="G2029" i="1"/>
  <c r="H2029" i="1"/>
  <c r="H2028" i="1"/>
  <c r="G2028" i="1"/>
  <c r="D2013" i="1"/>
  <c r="H2011" i="1"/>
  <c r="G2011" i="1"/>
  <c r="H2010" i="1"/>
  <c r="G2010" i="1"/>
  <c r="H2009" i="1"/>
  <c r="G2009" i="1"/>
  <c r="F1984" i="1"/>
  <c r="D1984" i="1"/>
  <c r="G1983" i="1"/>
  <c r="H1983" i="1"/>
  <c r="G1982" i="1"/>
  <c r="H1982" i="1"/>
  <c r="G1981" i="1"/>
  <c r="H1981" i="1"/>
  <c r="G1980" i="1"/>
  <c r="H1980" i="1"/>
  <c r="G1979" i="1"/>
  <c r="H1979" i="1"/>
  <c r="H1960" i="1"/>
  <c r="G1960" i="1"/>
  <c r="H1959" i="1"/>
  <c r="G1959" i="1"/>
  <c r="H1956" i="1"/>
  <c r="G1956" i="1"/>
  <c r="H1955" i="1"/>
  <c r="G1955" i="1"/>
  <c r="F1922" i="1"/>
  <c r="H1921" i="1"/>
  <c r="G1921" i="1"/>
  <c r="G1920" i="1"/>
  <c r="H1920" i="1"/>
  <c r="G1919" i="1"/>
  <c r="H1919" i="1"/>
  <c r="H1918" i="1"/>
  <c r="G1918" i="1"/>
  <c r="G1917" i="1"/>
  <c r="H1905" i="1"/>
  <c r="H1904" i="1"/>
  <c r="G1904" i="1"/>
  <c r="H1903" i="1"/>
  <c r="G1903" i="1"/>
  <c r="H1902" i="1"/>
  <c r="G1902" i="1"/>
  <c r="H1901" i="1"/>
  <c r="G1901" i="1"/>
  <c r="H1900" i="1"/>
  <c r="G1900" i="1"/>
  <c r="H1899" i="1"/>
  <c r="G1899" i="1"/>
  <c r="I1872" i="1"/>
  <c r="H1872" i="1"/>
  <c r="G1872" i="1"/>
  <c r="G1871" i="1"/>
  <c r="H1871" i="1"/>
  <c r="G1870" i="1"/>
  <c r="H1869" i="1"/>
  <c r="G1869" i="1"/>
  <c r="H1852" i="1"/>
  <c r="G1852" i="1"/>
  <c r="F1853" i="1"/>
  <c r="I1851" i="1" s="1"/>
  <c r="H1849" i="1"/>
  <c r="G1849" i="1"/>
  <c r="G1848" i="1"/>
  <c r="H1848" i="1"/>
  <c r="G1847" i="1"/>
  <c r="H1847" i="1"/>
  <c r="H1846" i="1"/>
  <c r="G1846" i="1"/>
  <c r="G1845" i="1"/>
  <c r="H1845" i="1"/>
  <c r="G1844" i="1"/>
  <c r="H1844" i="1"/>
  <c r="G1843" i="1"/>
  <c r="H1841" i="1"/>
  <c r="G1841" i="1"/>
  <c r="H1792" i="1"/>
  <c r="G1792" i="1"/>
  <c r="H1791" i="1"/>
  <c r="G1791" i="1"/>
  <c r="H1789" i="1"/>
  <c r="G1789" i="1"/>
  <c r="H1788" i="1"/>
  <c r="G1788" i="1"/>
  <c r="I1737" i="1"/>
  <c r="H1739" i="1"/>
  <c r="G1739" i="1"/>
  <c r="H1738" i="1"/>
  <c r="G1738" i="1"/>
  <c r="H1737" i="1"/>
  <c r="G1737" i="1"/>
  <c r="H1736" i="1"/>
  <c r="G1736" i="1"/>
  <c r="F1702" i="1"/>
  <c r="H1701" i="1"/>
  <c r="G1701" i="1"/>
  <c r="G1700" i="1"/>
  <c r="H1700" i="1"/>
  <c r="G1699" i="1"/>
  <c r="H1698" i="1"/>
  <c r="H1697" i="1"/>
  <c r="G1697" i="1"/>
  <c r="H1676" i="1"/>
  <c r="G1676" i="1"/>
  <c r="H1675" i="1"/>
  <c r="G1675" i="1"/>
  <c r="F1652" i="1"/>
  <c r="D1652" i="1"/>
  <c r="G1651" i="1"/>
  <c r="H1651" i="1"/>
  <c r="G1650" i="1"/>
  <c r="H1650" i="1"/>
  <c r="G1649" i="1"/>
  <c r="H1649" i="1"/>
  <c r="G1647" i="1"/>
  <c r="H1628" i="1"/>
  <c r="G1628" i="1"/>
  <c r="D1627" i="1"/>
  <c r="D1629" i="1" s="1"/>
  <c r="H1624" i="1"/>
  <c r="G1624" i="1"/>
  <c r="H1622" i="1"/>
  <c r="G1622" i="1"/>
  <c r="H1621" i="1"/>
  <c r="G1621" i="1"/>
  <c r="H1620" i="1"/>
  <c r="G1620" i="1"/>
  <c r="H1619" i="1"/>
  <c r="G1619" i="1"/>
  <c r="D1589" i="1"/>
  <c r="G1587" i="1"/>
  <c r="H1587" i="1"/>
  <c r="G1586" i="1"/>
  <c r="H1585" i="1"/>
  <c r="G1585" i="1"/>
  <c r="H1584" i="1"/>
  <c r="G1584" i="1"/>
  <c r="D1567" i="1"/>
  <c r="G1565" i="1"/>
  <c r="H1565" i="1"/>
  <c r="G1564" i="1"/>
  <c r="H1564" i="1"/>
  <c r="G1563" i="1"/>
  <c r="H1562" i="1"/>
  <c r="G1562" i="1"/>
  <c r="G1532" i="1"/>
  <c r="H1532" i="1"/>
  <c r="G1531" i="1"/>
  <c r="H1531" i="1"/>
  <c r="H1530" i="1"/>
  <c r="D1534" i="1"/>
  <c r="G1529" i="1"/>
  <c r="H1529" i="1"/>
  <c r="I1509" i="1"/>
  <c r="H1510" i="1"/>
  <c r="G1510" i="1"/>
  <c r="H1509" i="1"/>
  <c r="G1509" i="1"/>
  <c r="H1508" i="1"/>
  <c r="G1508" i="1"/>
  <c r="H1507" i="1"/>
  <c r="G1507" i="1"/>
  <c r="H1506" i="1"/>
  <c r="G1506" i="1"/>
  <c r="D1478" i="1"/>
  <c r="G1476" i="1"/>
  <c r="H1476" i="1"/>
  <c r="G1475" i="1"/>
  <c r="H1475" i="1"/>
  <c r="G1474" i="1"/>
  <c r="H1474" i="1"/>
  <c r="G1473" i="1"/>
  <c r="H1473" i="1"/>
  <c r="D1454" i="1"/>
  <c r="G1452" i="1"/>
  <c r="H1452" i="1"/>
  <c r="G1451" i="1"/>
  <c r="H1451" i="1"/>
  <c r="G1450" i="1"/>
  <c r="H1450" i="1"/>
  <c r="G1449" i="1"/>
  <c r="F1423" i="1"/>
  <c r="G1422" i="1"/>
  <c r="H1422" i="1"/>
  <c r="G1421" i="1"/>
  <c r="H1421" i="1"/>
  <c r="G1420" i="1"/>
  <c r="H1420" i="1"/>
  <c r="H1419" i="1"/>
  <c r="G1419" i="1"/>
  <c r="G1418" i="1"/>
  <c r="H1418" i="1"/>
  <c r="H1402" i="1"/>
  <c r="G1402" i="1"/>
  <c r="H1401" i="1"/>
  <c r="G1401" i="1"/>
  <c r="H1400" i="1"/>
  <c r="G1400" i="1"/>
  <c r="H1399" i="1"/>
  <c r="G1399" i="1"/>
  <c r="H1398" i="1"/>
  <c r="G1398" i="1"/>
  <c r="H1397" i="1"/>
  <c r="G1397" i="1"/>
  <c r="H1396" i="1"/>
  <c r="G1396" i="1"/>
  <c r="H1395" i="1"/>
  <c r="G1395" i="1"/>
  <c r="G1284" i="1"/>
  <c r="H1283" i="1"/>
  <c r="G1283" i="1"/>
  <c r="F1274" i="1"/>
  <c r="H1273" i="1"/>
  <c r="G1267" i="1"/>
  <c r="F1272" i="1"/>
  <c r="G1264" i="1"/>
  <c r="H1267" i="1"/>
  <c r="G1263" i="1"/>
  <c r="H1265" i="1"/>
  <c r="F1265" i="1"/>
  <c r="H1264" i="1"/>
  <c r="F1264" i="1"/>
  <c r="G1262" i="1"/>
  <c r="H1259" i="1"/>
  <c r="G1255" i="1"/>
  <c r="H1253" i="1"/>
  <c r="G1253" i="1"/>
  <c r="F1252" i="1"/>
  <c r="F1248" i="1" s="1"/>
  <c r="H1250" i="1"/>
  <c r="G1250" i="1"/>
  <c r="H1247" i="1"/>
  <c r="G1245" i="1"/>
  <c r="G1244" i="1"/>
  <c r="H1243" i="1"/>
  <c r="G1243" i="1"/>
  <c r="H1242" i="1"/>
  <c r="G1242" i="1"/>
  <c r="H1241" i="1"/>
  <c r="G1241" i="1"/>
  <c r="F1239" i="1"/>
  <c r="F1236" i="1"/>
  <c r="F1225" i="1" s="1"/>
  <c r="H1233" i="1"/>
  <c r="G1233" i="1"/>
  <c r="H1232" i="1"/>
  <c r="G1232" i="1"/>
  <c r="H1231" i="1"/>
  <c r="G1231" i="1"/>
  <c r="H1230" i="1"/>
  <c r="G1230" i="1"/>
  <c r="H1229" i="1"/>
  <c r="G1229" i="1"/>
  <c r="H1228" i="1"/>
  <c r="G1228" i="1"/>
  <c r="H1227" i="1"/>
  <c r="G1227" i="1"/>
  <c r="G1226" i="1"/>
  <c r="F1198" i="1"/>
  <c r="F2466" i="1" s="1"/>
  <c r="F2467" i="1" s="1"/>
  <c r="H1197" i="1"/>
  <c r="F1189" i="1"/>
  <c r="F2123" i="1" s="1"/>
  <c r="F2124" i="1" s="1"/>
  <c r="G1186" i="1"/>
  <c r="H1185" i="1"/>
  <c r="G1185" i="1"/>
  <c r="F1176" i="1"/>
  <c r="F1588" i="1" s="1"/>
  <c r="G1588" i="1" s="1"/>
  <c r="F1175" i="1"/>
  <c r="F1566" i="1" s="1"/>
  <c r="H1566" i="1" s="1"/>
  <c r="F1174" i="1"/>
  <c r="F1533" i="1" s="1"/>
  <c r="F1534" i="1" s="1"/>
  <c r="F1173" i="1"/>
  <c r="F1477" i="1" s="1"/>
  <c r="F1478" i="1" s="1"/>
  <c r="F1172" i="1"/>
  <c r="F1453" i="1" s="1"/>
  <c r="F1454" i="1" s="1"/>
  <c r="G1169" i="1"/>
  <c r="H1124" i="1"/>
  <c r="G1124" i="1"/>
  <c r="H1123" i="1"/>
  <c r="G1123" i="1"/>
  <c r="H1122" i="1"/>
  <c r="G1122" i="1"/>
  <c r="H1121" i="1"/>
  <c r="G1121" i="1"/>
  <c r="H1120" i="1"/>
  <c r="G1120" i="1"/>
  <c r="H1119" i="1"/>
  <c r="G1119" i="1"/>
  <c r="H1090" i="1"/>
  <c r="G1090" i="1"/>
  <c r="H1089" i="1"/>
  <c r="G1089" i="1"/>
  <c r="H1088" i="1"/>
  <c r="G1088" i="1"/>
  <c r="H1087" i="1"/>
  <c r="G1087" i="1"/>
  <c r="F1086" i="1"/>
  <c r="I1090" i="1" s="1"/>
  <c r="E1086" i="1"/>
  <c r="G1082" i="1"/>
  <c r="H1082" i="1"/>
  <c r="H1081" i="1"/>
  <c r="G1081" i="1"/>
  <c r="H1080" i="1"/>
  <c r="G1080" i="1"/>
  <c r="F1079" i="1"/>
  <c r="I1080" i="1" s="1"/>
  <c r="H1078" i="1"/>
  <c r="G1078" i="1"/>
  <c r="I1077" i="1"/>
  <c r="H1077" i="1"/>
  <c r="G1077" i="1"/>
  <c r="I1076" i="1"/>
  <c r="H1076" i="1"/>
  <c r="G1076" i="1"/>
  <c r="H1075" i="1"/>
  <c r="G1075" i="1"/>
  <c r="H1074" i="1"/>
  <c r="G1074" i="1"/>
  <c r="H1073" i="1"/>
  <c r="G1073" i="1"/>
  <c r="H1072" i="1"/>
  <c r="G1072" i="1"/>
  <c r="H1071" i="1"/>
  <c r="G1071" i="1"/>
  <c r="H1069" i="1"/>
  <c r="G1069" i="1"/>
  <c r="H1068" i="1"/>
  <c r="G1068" i="1"/>
  <c r="H1067" i="1"/>
  <c r="G1067" i="1"/>
  <c r="H1066" i="1"/>
  <c r="G1066" i="1"/>
  <c r="H1065" i="1"/>
  <c r="G1065" i="1"/>
  <c r="H1064" i="1"/>
  <c r="G1064" i="1"/>
  <c r="H1063" i="1"/>
  <c r="G1063" i="1"/>
  <c r="H1062" i="1"/>
  <c r="G1062" i="1"/>
  <c r="H1061" i="1"/>
  <c r="G1061" i="1"/>
  <c r="I1062" i="1"/>
  <c r="G1059" i="1"/>
  <c r="H1031" i="1"/>
  <c r="G1031" i="1"/>
  <c r="H1029" i="1"/>
  <c r="G1029" i="1"/>
  <c r="H1028" i="1"/>
  <c r="G1028" i="1"/>
  <c r="H1025" i="1"/>
  <c r="G1025" i="1"/>
  <c r="H1023" i="1"/>
  <c r="G1023" i="1"/>
  <c r="H1022" i="1"/>
  <c r="G1022" i="1"/>
  <c r="H1021" i="1"/>
  <c r="G1021" i="1"/>
  <c r="H1010" i="1"/>
  <c r="G1010" i="1"/>
  <c r="H1009" i="1"/>
  <c r="H1008" i="1"/>
  <c r="G1008" i="1"/>
  <c r="H1007" i="1"/>
  <c r="G1007" i="1"/>
  <c r="E1011" i="1"/>
  <c r="G978" i="1"/>
  <c r="H978" i="1"/>
  <c r="G977" i="1"/>
  <c r="H977" i="1"/>
  <c r="G976" i="1"/>
  <c r="H976" i="1"/>
  <c r="G975" i="1"/>
  <c r="H975" i="1"/>
  <c r="F974" i="1"/>
  <c r="I978" i="1" s="1"/>
  <c r="G969" i="1"/>
  <c r="H969" i="1"/>
  <c r="G968" i="1"/>
  <c r="H968" i="1"/>
  <c r="G965" i="1"/>
  <c r="H965" i="1"/>
  <c r="G964" i="1"/>
  <c r="H964" i="1"/>
  <c r="G963" i="1"/>
  <c r="H963" i="1"/>
  <c r="F962" i="1"/>
  <c r="G961" i="1"/>
  <c r="H961" i="1"/>
  <c r="G960" i="1"/>
  <c r="H960" i="1"/>
  <c r="F959" i="1"/>
  <c r="F1790" i="1" s="1"/>
  <c r="F1793" i="1" s="1"/>
  <c r="G958" i="1"/>
  <c r="H958" i="1"/>
  <c r="G957" i="1"/>
  <c r="H957" i="1"/>
  <c r="F956" i="1"/>
  <c r="G955" i="1"/>
  <c r="H955" i="1"/>
  <c r="G954" i="1"/>
  <c r="H954" i="1"/>
  <c r="G953" i="1"/>
  <c r="H953" i="1"/>
  <c r="G952" i="1"/>
  <c r="H952" i="1"/>
  <c r="G951" i="1"/>
  <c r="H951" i="1"/>
  <c r="G950" i="1"/>
  <c r="G949" i="1"/>
  <c r="H949" i="1"/>
  <c r="F948" i="1"/>
  <c r="G947" i="1"/>
  <c r="H947" i="1"/>
  <c r="F919" i="1"/>
  <c r="H918" i="1"/>
  <c r="G918" i="1"/>
  <c r="H917" i="1"/>
  <c r="G917" i="1"/>
  <c r="H916" i="1"/>
  <c r="G916" i="1"/>
  <c r="H915" i="1"/>
  <c r="G915" i="1"/>
  <c r="H914" i="1"/>
  <c r="G914" i="1"/>
  <c r="H913" i="1"/>
  <c r="G913" i="1"/>
  <c r="H912" i="1"/>
  <c r="F900" i="1"/>
  <c r="E900" i="1"/>
  <c r="H899" i="1"/>
  <c r="G899" i="1"/>
  <c r="H898" i="1"/>
  <c r="G898" i="1"/>
  <c r="H897" i="1"/>
  <c r="H870" i="1"/>
  <c r="G870" i="1"/>
  <c r="G864" i="1"/>
  <c r="H862" i="1"/>
  <c r="G862" i="1"/>
  <c r="F859" i="1"/>
  <c r="I860" i="1" s="1"/>
  <c r="G860" i="1"/>
  <c r="H858" i="1"/>
  <c r="G858" i="1"/>
  <c r="H852" i="1"/>
  <c r="G852" i="1"/>
  <c r="H851" i="1"/>
  <c r="G851" i="1"/>
  <c r="F850" i="1"/>
  <c r="I852" i="1" s="1"/>
  <c r="H849" i="1"/>
  <c r="G849" i="1"/>
  <c r="H848" i="1"/>
  <c r="G848" i="1"/>
  <c r="H847" i="1"/>
  <c r="G847" i="1"/>
  <c r="H846" i="1"/>
  <c r="G846" i="1"/>
  <c r="H842" i="1"/>
  <c r="G842" i="1"/>
  <c r="H841" i="1"/>
  <c r="G841" i="1"/>
  <c r="H839" i="1"/>
  <c r="G839" i="1"/>
  <c r="H838" i="1"/>
  <c r="G838" i="1"/>
  <c r="F794" i="1"/>
  <c r="F791" i="1" s="1"/>
  <c r="H792" i="1"/>
  <c r="G792" i="1"/>
  <c r="E791" i="1"/>
  <c r="H790" i="1"/>
  <c r="F789" i="1"/>
  <c r="I790" i="1" s="1"/>
  <c r="H788" i="1"/>
  <c r="G788" i="1"/>
  <c r="H787" i="1"/>
  <c r="G787" i="1"/>
  <c r="H786" i="1"/>
  <c r="G786" i="1"/>
  <c r="F785" i="1"/>
  <c r="I786" i="1" s="1"/>
  <c r="F784" i="1"/>
  <c r="H784" i="1" s="1"/>
  <c r="F782" i="1"/>
  <c r="H782" i="1" s="1"/>
  <c r="E781" i="1"/>
  <c r="H779" i="1"/>
  <c r="G779" i="1"/>
  <c r="H778" i="1"/>
  <c r="G778" i="1"/>
  <c r="H777" i="1"/>
  <c r="G777" i="1"/>
  <c r="H776" i="1"/>
  <c r="H769" i="1"/>
  <c r="F767" i="1"/>
  <c r="F764" i="1" s="1"/>
  <c r="I780" i="1" s="1"/>
  <c r="H766" i="1"/>
  <c r="G766" i="1"/>
  <c r="H765" i="1"/>
  <c r="G765" i="1"/>
  <c r="F763" i="1"/>
  <c r="H763" i="1" s="1"/>
  <c r="F762" i="1"/>
  <c r="H762" i="1" s="1"/>
  <c r="H761" i="1"/>
  <c r="H760" i="1"/>
  <c r="G760" i="1"/>
  <c r="F758" i="1"/>
  <c r="H758" i="1" s="1"/>
  <c r="H757" i="1"/>
  <c r="E756" i="1"/>
  <c r="F752" i="1"/>
  <c r="I753" i="1" s="1"/>
  <c r="H754" i="1"/>
  <c r="G754" i="1"/>
  <c r="H740" i="1"/>
  <c r="G740" i="1"/>
  <c r="H739" i="1"/>
  <c r="G739" i="1"/>
  <c r="H738" i="1"/>
  <c r="G738" i="1"/>
  <c r="H737" i="1"/>
  <c r="G737" i="1"/>
  <c r="H736" i="1"/>
  <c r="G736" i="1"/>
  <c r="H734" i="1"/>
  <c r="G734" i="1"/>
  <c r="H732" i="1"/>
  <c r="G732" i="1"/>
  <c r="F731" i="1"/>
  <c r="H731" i="1" s="1"/>
  <c r="H730" i="1"/>
  <c r="H729" i="1"/>
  <c r="H727" i="1"/>
  <c r="G727" i="1"/>
  <c r="H726" i="1"/>
  <c r="H725" i="1"/>
  <c r="G725" i="1"/>
  <c r="H722" i="1"/>
  <c r="G722" i="1"/>
  <c r="H720" i="1"/>
  <c r="G720" i="1"/>
  <c r="H719" i="1"/>
  <c r="G719" i="1"/>
  <c r="H711" i="1"/>
  <c r="H710" i="1"/>
  <c r="G710" i="1"/>
  <c r="H709" i="1"/>
  <c r="G709" i="1"/>
  <c r="H708" i="1"/>
  <c r="G708" i="1"/>
  <c r="H706" i="1"/>
  <c r="G706" i="1"/>
  <c r="H705" i="1"/>
  <c r="G705" i="1"/>
  <c r="H704" i="1"/>
  <c r="G704" i="1"/>
  <c r="F703" i="1"/>
  <c r="I704" i="1" s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D681" i="1"/>
  <c r="H680" i="1"/>
  <c r="G680" i="1"/>
  <c r="H679" i="1"/>
  <c r="G679" i="1"/>
  <c r="H678" i="1"/>
  <c r="G678" i="1"/>
  <c r="H677" i="1"/>
  <c r="G677" i="1"/>
  <c r="H676" i="1"/>
  <c r="E681" i="1"/>
  <c r="G644" i="1"/>
  <c r="H644" i="1"/>
  <c r="G643" i="1"/>
  <c r="H643" i="1"/>
  <c r="G642" i="1"/>
  <c r="G636" i="1"/>
  <c r="G626" i="1"/>
  <c r="H624" i="1"/>
  <c r="G622" i="1"/>
  <c r="H620" i="1"/>
  <c r="G619" i="1"/>
  <c r="G617" i="1"/>
  <c r="H593" i="1"/>
  <c r="H592" i="1"/>
  <c r="H591" i="1"/>
  <c r="H589" i="1"/>
  <c r="H588" i="1"/>
  <c r="H586" i="1"/>
  <c r="H585" i="1"/>
  <c r="I565" i="1"/>
  <c r="G570" i="1"/>
  <c r="G568" i="1"/>
  <c r="H567" i="1"/>
  <c r="G567" i="1"/>
  <c r="H566" i="1"/>
  <c r="G566" i="1"/>
  <c r="H565" i="1"/>
  <c r="G565" i="1"/>
  <c r="G564" i="1"/>
  <c r="H564" i="1"/>
  <c r="G525" i="1"/>
  <c r="G524" i="1"/>
  <c r="H524" i="1"/>
  <c r="D528" i="1"/>
  <c r="H486" i="1"/>
  <c r="G486" i="1"/>
  <c r="H479" i="1"/>
  <c r="H475" i="1"/>
  <c r="I453" i="1"/>
  <c r="H459" i="1"/>
  <c r="G459" i="1"/>
  <c r="H453" i="1"/>
  <c r="G453" i="1"/>
  <c r="H452" i="1"/>
  <c r="G452" i="1"/>
  <c r="H451" i="1"/>
  <c r="G451" i="1"/>
  <c r="H450" i="1"/>
  <c r="G450" i="1"/>
  <c r="H449" i="1"/>
  <c r="G449" i="1"/>
  <c r="E404" i="1"/>
  <c r="D404" i="1"/>
  <c r="F403" i="1"/>
  <c r="F402" i="1"/>
  <c r="F401" i="1"/>
  <c r="F400" i="1"/>
  <c r="F398" i="1"/>
  <c r="H349" i="1"/>
  <c r="G349" i="1"/>
  <c r="I349" i="1"/>
  <c r="E348" i="1"/>
  <c r="H347" i="1"/>
  <c r="G347" i="1"/>
  <c r="G345" i="1"/>
  <c r="E344" i="1"/>
  <c r="H345" i="1" s="1"/>
  <c r="H338" i="1"/>
  <c r="G338" i="1"/>
  <c r="F335" i="1"/>
  <c r="G336" i="1"/>
  <c r="E335" i="1"/>
  <c r="E334" i="1"/>
  <c r="E355" i="1" s="1"/>
  <c r="E328" i="1"/>
  <c r="E324" i="1" s="1"/>
  <c r="H327" i="1"/>
  <c r="G327" i="1"/>
  <c r="H325" i="1"/>
  <c r="G325" i="1"/>
  <c r="H322" i="1"/>
  <c r="F320" i="1"/>
  <c r="I318" i="1" s="1"/>
  <c r="E320" i="1"/>
  <c r="E317" i="1" s="1"/>
  <c r="H319" i="1"/>
  <c r="G319" i="1"/>
  <c r="H318" i="1"/>
  <c r="G318" i="1"/>
  <c r="E310" i="1"/>
  <c r="H315" i="1"/>
  <c r="G315" i="1"/>
  <c r="H314" i="1"/>
  <c r="G314" i="1"/>
  <c r="H313" i="1"/>
  <c r="G313" i="1"/>
  <c r="H312" i="1"/>
  <c r="G312" i="1"/>
  <c r="I307" i="1"/>
  <c r="E302" i="1"/>
  <c r="H308" i="1"/>
  <c r="G308" i="1"/>
  <c r="H307" i="1"/>
  <c r="G307" i="1"/>
  <c r="H304" i="1"/>
  <c r="G304" i="1"/>
  <c r="H303" i="1"/>
  <c r="G303" i="1"/>
  <c r="I295" i="1"/>
  <c r="E298" i="1"/>
  <c r="E291" i="1" s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0" i="1"/>
  <c r="G290" i="1"/>
  <c r="F288" i="1"/>
  <c r="E288" i="1"/>
  <c r="H287" i="1"/>
  <c r="G287" i="1"/>
  <c r="H286" i="1"/>
  <c r="G286" i="1"/>
  <c r="H285" i="1"/>
  <c r="G285" i="1"/>
  <c r="H284" i="1"/>
  <c r="G284" i="1"/>
  <c r="H283" i="1"/>
  <c r="G283" i="1"/>
  <c r="H278" i="1"/>
  <c r="G278" i="1"/>
  <c r="H277" i="1"/>
  <c r="G277" i="1"/>
  <c r="H275" i="1"/>
  <c r="G275" i="1"/>
  <c r="F272" i="1"/>
  <c r="F269" i="1" s="1"/>
  <c r="E272" i="1"/>
  <c r="H271" i="1"/>
  <c r="G271" i="1"/>
  <c r="H270" i="1"/>
  <c r="G270" i="1"/>
  <c r="H266" i="1"/>
  <c r="G266" i="1"/>
  <c r="F256" i="1"/>
  <c r="H262" i="1"/>
  <c r="G262" i="1"/>
  <c r="H264" i="1"/>
  <c r="G264" i="1"/>
  <c r="H260" i="1"/>
  <c r="G260" i="1"/>
  <c r="H259" i="1"/>
  <c r="G259" i="1"/>
  <c r="H258" i="1"/>
  <c r="G258" i="1"/>
  <c r="H257" i="1"/>
  <c r="G257" i="1"/>
  <c r="H253" i="1"/>
  <c r="G253" i="1"/>
  <c r="H252" i="1"/>
  <c r="G252" i="1"/>
  <c r="H251" i="1"/>
  <c r="G251" i="1"/>
  <c r="H250" i="1"/>
  <c r="G250" i="1"/>
  <c r="H249" i="1"/>
  <c r="G249" i="1"/>
  <c r="G244" i="1"/>
  <c r="H244" i="1" s="1"/>
  <c r="H243" i="1"/>
  <c r="G243" i="1"/>
  <c r="H242" i="1"/>
  <c r="H241" i="1"/>
  <c r="G241" i="1"/>
  <c r="H240" i="1"/>
  <c r="G240" i="1"/>
  <c r="H239" i="1"/>
  <c r="G239" i="1"/>
  <c r="H238" i="1"/>
  <c r="G238" i="1"/>
  <c r="H237" i="1"/>
  <c r="G237" i="1"/>
  <c r="E235" i="1"/>
  <c r="H234" i="1"/>
  <c r="G234" i="1"/>
  <c r="H211" i="1"/>
  <c r="G211" i="1"/>
  <c r="H210" i="1"/>
  <c r="G210" i="1"/>
  <c r="H209" i="1"/>
  <c r="G209" i="1"/>
  <c r="H208" i="1"/>
  <c r="G208" i="1"/>
  <c r="F207" i="1"/>
  <c r="I208" i="1" s="1"/>
  <c r="E207" i="1"/>
  <c r="H204" i="1"/>
  <c r="G204" i="1"/>
  <c r="H201" i="1"/>
  <c r="G201" i="1"/>
  <c r="H200" i="1"/>
  <c r="G200" i="1"/>
  <c r="H199" i="1"/>
  <c r="G199" i="1"/>
  <c r="F198" i="1"/>
  <c r="I199" i="1" s="1"/>
  <c r="E198" i="1"/>
  <c r="H197" i="1"/>
  <c r="G197" i="1"/>
  <c r="H196" i="1"/>
  <c r="G196" i="1"/>
  <c r="H195" i="1"/>
  <c r="G195" i="1"/>
  <c r="E194" i="1"/>
  <c r="H193" i="1"/>
  <c r="G193" i="1"/>
  <c r="H192" i="1"/>
  <c r="G192" i="1"/>
  <c r="H191" i="1"/>
  <c r="G191" i="1"/>
  <c r="H190" i="1"/>
  <c r="G190" i="1"/>
  <c r="H189" i="1"/>
  <c r="G189" i="1"/>
  <c r="F188" i="1"/>
  <c r="E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E180" i="1"/>
  <c r="H179" i="1"/>
  <c r="G179" i="1"/>
  <c r="I278" i="1" l="1"/>
  <c r="I276" i="1"/>
  <c r="I336" i="1"/>
  <c r="I264" i="1"/>
  <c r="I794" i="1"/>
  <c r="I795" i="1"/>
  <c r="I793" i="1"/>
  <c r="F1238" i="1"/>
  <c r="I1240" i="1" s="1"/>
  <c r="I1273" i="1"/>
  <c r="G1261" i="1"/>
  <c r="H1261" i="1"/>
  <c r="F979" i="1"/>
  <c r="I970" i="1" s="1"/>
  <c r="I1236" i="1"/>
  <c r="F1091" i="1"/>
  <c r="H1453" i="1"/>
  <c r="G1453" i="1"/>
  <c r="G1566" i="1"/>
  <c r="H1533" i="1"/>
  <c r="F1589" i="1"/>
  <c r="H1589" i="1" s="1"/>
  <c r="H1477" i="1"/>
  <c r="G1533" i="1"/>
  <c r="F1567" i="1"/>
  <c r="I1566" i="1" s="1"/>
  <c r="G1790" i="1"/>
  <c r="H2466" i="1"/>
  <c r="G1477" i="1"/>
  <c r="H1790" i="1"/>
  <c r="H2123" i="1"/>
  <c r="G2466" i="1"/>
  <c r="G2123" i="1"/>
  <c r="H1588" i="1"/>
  <c r="E333" i="1"/>
  <c r="E351" i="1" s="1"/>
  <c r="I329" i="1"/>
  <c r="I898" i="1"/>
  <c r="I2311" i="1"/>
  <c r="I1921" i="1"/>
  <c r="I1983" i="1"/>
  <c r="I2028" i="1"/>
  <c r="I1699" i="1"/>
  <c r="I1789" i="1"/>
  <c r="I2233" i="1"/>
  <c r="I2401" i="1"/>
  <c r="I2462" i="1"/>
  <c r="I2587" i="1"/>
  <c r="I2064" i="1"/>
  <c r="I2079" i="1"/>
  <c r="I2119" i="1"/>
  <c r="I2523" i="1"/>
  <c r="I2188" i="1"/>
  <c r="G403" i="1"/>
  <c r="H403" i="1"/>
  <c r="I1531" i="1"/>
  <c r="I189" i="1"/>
  <c r="F212" i="1"/>
  <c r="I1453" i="1"/>
  <c r="I1475" i="1"/>
  <c r="I1119" i="1"/>
  <c r="I1268" i="1"/>
  <c r="I1421" i="1"/>
  <c r="I2122" i="1"/>
  <c r="F1629" i="1"/>
  <c r="E1850" i="1"/>
  <c r="E1853" i="1" s="1"/>
  <c r="H1853" i="1" s="1"/>
  <c r="I1847" i="1"/>
  <c r="I2296" i="1"/>
  <c r="I2292" i="1"/>
  <c r="I2297" i="1" s="1"/>
  <c r="I1982" i="1"/>
  <c r="G1083" i="1"/>
  <c r="H1870" i="1"/>
  <c r="H950" i="1"/>
  <c r="H948" i="1"/>
  <c r="I701" i="1"/>
  <c r="E269" i="1"/>
  <c r="E268" i="1" s="1"/>
  <c r="G256" i="1"/>
  <c r="I951" i="1"/>
  <c r="E1091" i="1"/>
  <c r="I240" i="1"/>
  <c r="F351" i="1"/>
  <c r="I1081" i="1"/>
  <c r="I972" i="1"/>
  <c r="I973" i="1"/>
  <c r="H1169" i="1"/>
  <c r="I1621" i="1"/>
  <c r="E212" i="1"/>
  <c r="I1194" i="1"/>
  <c r="I1195" i="1"/>
  <c r="I257" i="1"/>
  <c r="I250" i="1"/>
  <c r="E301" i="1"/>
  <c r="I325" i="1"/>
  <c r="H324" i="1"/>
  <c r="I314" i="1"/>
  <c r="F310" i="1"/>
  <c r="I259" i="1"/>
  <c r="G971" i="1"/>
  <c r="H1083" i="1"/>
  <c r="H971" i="1"/>
  <c r="H1513" i="1"/>
  <c r="D1011" i="1"/>
  <c r="I293" i="1"/>
  <c r="I238" i="1"/>
  <c r="I1619" i="1"/>
  <c r="I284" i="1"/>
  <c r="F274" i="1"/>
  <c r="I286" i="1"/>
  <c r="I2588" i="1"/>
  <c r="I2589" i="1"/>
  <c r="I1622" i="1"/>
  <c r="G2297" i="1"/>
  <c r="I2399" i="1"/>
  <c r="H288" i="1"/>
  <c r="I721" i="1"/>
  <c r="I1841" i="1"/>
  <c r="I2398" i="1"/>
  <c r="F1184" i="1"/>
  <c r="I1791" i="1"/>
  <c r="I2400" i="1"/>
  <c r="G399" i="1"/>
  <c r="I1122" i="1"/>
  <c r="G2512" i="1"/>
  <c r="G974" i="1"/>
  <c r="H398" i="1"/>
  <c r="H400" i="1"/>
  <c r="I1123" i="1"/>
  <c r="I2187" i="1"/>
  <c r="H621" i="1"/>
  <c r="H401" i="1"/>
  <c r="G509" i="1"/>
  <c r="I1844" i="1"/>
  <c r="H402" i="1"/>
  <c r="I494" i="1"/>
  <c r="H627" i="1"/>
  <c r="H634" i="1"/>
  <c r="G768" i="1"/>
  <c r="G1254" i="1"/>
  <c r="H272" i="1"/>
  <c r="I275" i="1"/>
  <c r="I484" i="1"/>
  <c r="G789" i="1"/>
  <c r="H869" i="1"/>
  <c r="I2120" i="1"/>
  <c r="I2186" i="1"/>
  <c r="I2189" i="1"/>
  <c r="H328" i="1"/>
  <c r="H507" i="1"/>
  <c r="G328" i="1"/>
  <c r="G481" i="1"/>
  <c r="I566" i="1"/>
  <c r="I1009" i="1"/>
  <c r="H1187" i="1"/>
  <c r="H1191" i="1"/>
  <c r="I1698" i="1"/>
  <c r="I1843" i="1"/>
  <c r="I1846" i="1"/>
  <c r="I476" i="1"/>
  <c r="G480" i="1"/>
  <c r="G489" i="1"/>
  <c r="G491" i="1"/>
  <c r="H510" i="1"/>
  <c r="D900" i="1"/>
  <c r="G900" i="1" s="1"/>
  <c r="I949" i="1"/>
  <c r="G1252" i="1"/>
  <c r="I1473" i="1"/>
  <c r="I313" i="1"/>
  <c r="H523" i="1"/>
  <c r="H616" i="1"/>
  <c r="E844" i="1"/>
  <c r="H1172" i="1"/>
  <c r="H1176" i="1"/>
  <c r="F1178" i="1"/>
  <c r="G1249" i="1"/>
  <c r="I1508" i="1"/>
  <c r="G1873" i="1"/>
  <c r="I1918" i="1"/>
  <c r="D2592" i="1"/>
  <c r="G2592" i="1" s="1"/>
  <c r="I312" i="1"/>
  <c r="I449" i="1"/>
  <c r="G494" i="1"/>
  <c r="I1449" i="1"/>
  <c r="I1700" i="1"/>
  <c r="H461" i="1"/>
  <c r="G522" i="1"/>
  <c r="H630" i="1"/>
  <c r="H635" i="1"/>
  <c r="F681" i="1"/>
  <c r="H1173" i="1"/>
  <c r="H1177" i="1"/>
  <c r="G1259" i="1"/>
  <c r="I1788" i="1"/>
  <c r="I1868" i="1"/>
  <c r="E2574" i="1"/>
  <c r="G348" i="1"/>
  <c r="H356" i="1"/>
  <c r="H626" i="1"/>
  <c r="E867" i="1"/>
  <c r="G869" i="1"/>
  <c r="H900" i="1"/>
  <c r="I950" i="1"/>
  <c r="I1474" i="1"/>
  <c r="I1845" i="1"/>
  <c r="I1870" i="1"/>
  <c r="I1920" i="1"/>
  <c r="H1961" i="1"/>
  <c r="I2029" i="1"/>
  <c r="I2121" i="1"/>
  <c r="I2309" i="1"/>
  <c r="F268" i="1"/>
  <c r="E274" i="1"/>
  <c r="H316" i="1"/>
  <c r="G497" i="1"/>
  <c r="G507" i="1"/>
  <c r="I564" i="1"/>
  <c r="I568" i="1"/>
  <c r="H628" i="1"/>
  <c r="G767" i="1"/>
  <c r="G770" i="1"/>
  <c r="I899" i="1"/>
  <c r="G1027" i="1"/>
  <c r="H1179" i="1"/>
  <c r="H1226" i="1"/>
  <c r="G1273" i="1"/>
  <c r="I1419" i="1"/>
  <c r="G1530" i="1"/>
  <c r="D1922" i="1"/>
  <c r="G1922" i="1" s="1"/>
  <c r="G333" i="1"/>
  <c r="H473" i="1"/>
  <c r="G484" i="1"/>
  <c r="I567" i="1"/>
  <c r="G585" i="1"/>
  <c r="G588" i="1"/>
  <c r="H614" i="1"/>
  <c r="G620" i="1"/>
  <c r="F724" i="1"/>
  <c r="I732" i="1" s="1"/>
  <c r="H768" i="1"/>
  <c r="H770" i="1"/>
  <c r="G859" i="1"/>
  <c r="G1086" i="1"/>
  <c r="G1175" i="1"/>
  <c r="G1182" i="1"/>
  <c r="H1199" i="1"/>
  <c r="I1529" i="1"/>
  <c r="I2027" i="1"/>
  <c r="G2176" i="1"/>
  <c r="I270" i="1"/>
  <c r="G401" i="1"/>
  <c r="G487" i="1"/>
  <c r="H490" i="1"/>
  <c r="H509" i="1"/>
  <c r="G624" i="1"/>
  <c r="G676" i="1"/>
  <c r="H703" i="1"/>
  <c r="G755" i="1"/>
  <c r="D919" i="1"/>
  <c r="G919" i="1" s="1"/>
  <c r="G959" i="1"/>
  <c r="G1079" i="1"/>
  <c r="G1183" i="1"/>
  <c r="G1191" i="1"/>
  <c r="G1199" i="1"/>
  <c r="G1236" i="1"/>
  <c r="G1239" i="1"/>
  <c r="I1420" i="1"/>
  <c r="I1869" i="1"/>
  <c r="H1922" i="1"/>
  <c r="I1919" i="1"/>
  <c r="I1956" i="1"/>
  <c r="I1979" i="1"/>
  <c r="G1984" i="1"/>
  <c r="D2467" i="1"/>
  <c r="G2467" i="1" s="1"/>
  <c r="H346" i="1"/>
  <c r="H1181" i="1"/>
  <c r="G198" i="1"/>
  <c r="E332" i="1"/>
  <c r="H344" i="1" s="1"/>
  <c r="H485" i="1"/>
  <c r="H494" i="1"/>
  <c r="H508" i="1"/>
  <c r="H625" i="1"/>
  <c r="H631" i="1"/>
  <c r="F633" i="1"/>
  <c r="I635" i="1" s="1"/>
  <c r="G675" i="1"/>
  <c r="G763" i="1"/>
  <c r="H767" i="1"/>
  <c r="G783" i="1"/>
  <c r="G794" i="1"/>
  <c r="H845" i="1"/>
  <c r="H959" i="1"/>
  <c r="I1418" i="1"/>
  <c r="H1454" i="1"/>
  <c r="I1451" i="1"/>
  <c r="I1532" i="1"/>
  <c r="I1586" i="1"/>
  <c r="H1740" i="1"/>
  <c r="I1736" i="1"/>
  <c r="I1871" i="1"/>
  <c r="I1917" i="1"/>
  <c r="I1981" i="1"/>
  <c r="D2032" i="1"/>
  <c r="G2032" i="1" s="1"/>
  <c r="H2066" i="1"/>
  <c r="I2175" i="1"/>
  <c r="I2176" i="1" s="1"/>
  <c r="D2191" i="1"/>
  <c r="G2191" i="1" s="1"/>
  <c r="I2232" i="1"/>
  <c r="I2308" i="1"/>
  <c r="D2403" i="1"/>
  <c r="G2403" i="1" s="1"/>
  <c r="H298" i="1"/>
  <c r="I315" i="1"/>
  <c r="G316" i="1"/>
  <c r="H323" i="1"/>
  <c r="H483" i="1"/>
  <c r="G495" i="1"/>
  <c r="H632" i="1"/>
  <c r="H733" i="1"/>
  <c r="G790" i="1"/>
  <c r="G850" i="1"/>
  <c r="G868" i="1"/>
  <c r="F1011" i="1"/>
  <c r="G1126" i="1"/>
  <c r="H1171" i="1"/>
  <c r="H1175" i="1"/>
  <c r="G1177" i="1"/>
  <c r="H1183" i="1"/>
  <c r="I1450" i="1"/>
  <c r="G1478" i="1"/>
  <c r="G1627" i="1"/>
  <c r="I1735" i="1"/>
  <c r="I1980" i="1"/>
  <c r="H2032" i="1"/>
  <c r="I2231" i="1"/>
  <c r="I739" i="1"/>
  <c r="I736" i="1"/>
  <c r="I740" i="1"/>
  <c r="I738" i="1"/>
  <c r="H247" i="1"/>
  <c r="H236" i="1" s="1"/>
  <c r="I298" i="1"/>
  <c r="I300" i="1" s="1"/>
  <c r="I292" i="1"/>
  <c r="G337" i="1"/>
  <c r="I338" i="1"/>
  <c r="F404" i="1"/>
  <c r="G485" i="1"/>
  <c r="G490" i="1"/>
  <c r="G493" i="1"/>
  <c r="H497" i="1"/>
  <c r="I508" i="1"/>
  <c r="G510" i="1"/>
  <c r="H522" i="1"/>
  <c r="H525" i="1"/>
  <c r="H526" i="1"/>
  <c r="H584" i="1"/>
  <c r="H617" i="1"/>
  <c r="H618" i="1"/>
  <c r="G631" i="1"/>
  <c r="G634" i="1"/>
  <c r="H636" i="1"/>
  <c r="H645" i="1"/>
  <c r="I698" i="1"/>
  <c r="I700" i="1"/>
  <c r="G728" i="1"/>
  <c r="G730" i="1"/>
  <c r="G741" i="1"/>
  <c r="G188" i="1"/>
  <c r="I209" i="1"/>
  <c r="I242" i="1"/>
  <c r="I244" i="1"/>
  <c r="G265" i="1"/>
  <c r="I337" i="1"/>
  <c r="H728" i="1"/>
  <c r="I741" i="1"/>
  <c r="I755" i="1"/>
  <c r="H752" i="1"/>
  <c r="I190" i="1"/>
  <c r="I200" i="1"/>
  <c r="H263" i="1"/>
  <c r="I294" i="1"/>
  <c r="I297" i="1"/>
  <c r="G298" i="1"/>
  <c r="H477" i="1"/>
  <c r="G479" i="1"/>
  <c r="H480" i="1"/>
  <c r="H481" i="1"/>
  <c r="G482" i="1"/>
  <c r="G483" i="1"/>
  <c r="H484" i="1"/>
  <c r="G508" i="1"/>
  <c r="G591" i="1"/>
  <c r="G593" i="1"/>
  <c r="G614" i="1"/>
  <c r="H619" i="1"/>
  <c r="H622" i="1"/>
  <c r="G628" i="1"/>
  <c r="H642" i="1"/>
  <c r="I705" i="1"/>
  <c r="H741" i="1"/>
  <c r="H254" i="1"/>
  <c r="F528" i="1"/>
  <c r="H570" i="1"/>
  <c r="G733" i="1"/>
  <c r="E759" i="1"/>
  <c r="H783" i="1"/>
  <c r="G1181" i="1"/>
  <c r="G1251" i="1"/>
  <c r="I1422" i="1"/>
  <c r="G1534" i="1"/>
  <c r="H1699" i="1"/>
  <c r="I1739" i="1"/>
  <c r="I1792" i="1"/>
  <c r="I2030" i="1"/>
  <c r="I2031" i="1"/>
  <c r="I861" i="1"/>
  <c r="H1006" i="1"/>
  <c r="H1174" i="1"/>
  <c r="G1180" i="1"/>
  <c r="H1251" i="1"/>
  <c r="H1252" i="1"/>
  <c r="G1258" i="1"/>
  <c r="D1423" i="1"/>
  <c r="G1423" i="1" s="1"/>
  <c r="G1513" i="1"/>
  <c r="I1620" i="1"/>
  <c r="I1624" i="1"/>
  <c r="G1625" i="1"/>
  <c r="H1908" i="1"/>
  <c r="H2176" i="1"/>
  <c r="I788" i="1"/>
  <c r="H794" i="1"/>
  <c r="G897" i="1"/>
  <c r="G912" i="1"/>
  <c r="H919" i="1"/>
  <c r="H1059" i="1"/>
  <c r="G1060" i="1"/>
  <c r="I1088" i="1"/>
  <c r="I1121" i="1"/>
  <c r="G1189" i="1"/>
  <c r="H1449" i="1"/>
  <c r="G1454" i="1"/>
  <c r="I1530" i="1"/>
  <c r="H1625" i="1"/>
  <c r="H1735" i="1"/>
  <c r="I1790" i="1"/>
  <c r="I1848" i="1"/>
  <c r="G1868" i="1"/>
  <c r="G2027" i="1"/>
  <c r="I2234" i="1"/>
  <c r="H2308" i="1"/>
  <c r="I2310" i="1"/>
  <c r="H2462" i="1"/>
  <c r="H2570" i="1"/>
  <c r="H2592" i="1"/>
  <c r="H755" i="1"/>
  <c r="G758" i="1"/>
  <c r="G761" i="1"/>
  <c r="G785" i="1"/>
  <c r="H837" i="1"/>
  <c r="E836" i="1"/>
  <c r="H840" i="1"/>
  <c r="H843" i="1"/>
  <c r="H861" i="1"/>
  <c r="H967" i="1"/>
  <c r="G1009" i="1"/>
  <c r="H1035" i="1"/>
  <c r="F1170" i="1"/>
  <c r="G1173" i="1"/>
  <c r="F1196" i="1"/>
  <c r="G1197" i="1"/>
  <c r="G1247" i="1"/>
  <c r="H1249" i="1"/>
  <c r="F1263" i="1"/>
  <c r="I1264" i="1" s="1"/>
  <c r="H1272" i="1"/>
  <c r="I1452" i="1"/>
  <c r="H1647" i="1"/>
  <c r="I2065" i="1"/>
  <c r="G2066" i="1"/>
  <c r="G2124" i="1"/>
  <c r="D2313" i="1"/>
  <c r="G2313" i="1" s="1"/>
  <c r="G2398" i="1"/>
  <c r="G2454" i="1"/>
  <c r="I183" i="1"/>
  <c r="G180" i="1"/>
  <c r="I182" i="1"/>
  <c r="H188" i="1"/>
  <c r="G194" i="1"/>
  <c r="I196" i="1"/>
  <c r="H198" i="1"/>
  <c r="I210" i="1"/>
  <c r="I211" i="1"/>
  <c r="I237" i="1"/>
  <c r="I241" i="1"/>
  <c r="G247" i="1"/>
  <c r="I251" i="1"/>
  <c r="I258" i="1"/>
  <c r="I262" i="1"/>
  <c r="G263" i="1"/>
  <c r="I271" i="1"/>
  <c r="G272" i="1"/>
  <c r="I283" i="1"/>
  <c r="I287" i="1"/>
  <c r="G288" i="1"/>
  <c r="F317" i="1"/>
  <c r="E354" i="1"/>
  <c r="G356" i="1"/>
  <c r="G461" i="1"/>
  <c r="I459" i="1"/>
  <c r="I450" i="1"/>
  <c r="I452" i="1"/>
  <c r="H491" i="1"/>
  <c r="H493" i="1"/>
  <c r="I181" i="1"/>
  <c r="H194" i="1"/>
  <c r="I195" i="1"/>
  <c r="F302" i="1"/>
  <c r="G309" i="1"/>
  <c r="I308" i="1"/>
  <c r="I303" i="1"/>
  <c r="G320" i="1"/>
  <c r="I319" i="1"/>
  <c r="I320" i="1" s="1"/>
  <c r="G346" i="1"/>
  <c r="I347" i="1"/>
  <c r="H478" i="1"/>
  <c r="G478" i="1"/>
  <c r="H180" i="1"/>
  <c r="G207" i="1"/>
  <c r="H207" i="1"/>
  <c r="F236" i="1"/>
  <c r="L236" i="1" s="1"/>
  <c r="I239" i="1"/>
  <c r="I243" i="1"/>
  <c r="G248" i="1"/>
  <c r="I249" i="1"/>
  <c r="I253" i="1"/>
  <c r="G254" i="1"/>
  <c r="I260" i="1"/>
  <c r="H265" i="1"/>
  <c r="I277" i="1"/>
  <c r="I285" i="1"/>
  <c r="I296" i="1"/>
  <c r="H309" i="1"/>
  <c r="H320" i="1"/>
  <c r="G335" i="1"/>
  <c r="G402" i="1"/>
  <c r="G398" i="1"/>
  <c r="G400" i="1"/>
  <c r="I451" i="1"/>
  <c r="H476" i="1"/>
  <c r="G476" i="1"/>
  <c r="H487" i="1"/>
  <c r="H489" i="1"/>
  <c r="H495" i="1"/>
  <c r="H248" i="1"/>
  <c r="I252" i="1"/>
  <c r="I304" i="1"/>
  <c r="H337" i="1"/>
  <c r="F344" i="1"/>
  <c r="G473" i="1"/>
  <c r="G475" i="1"/>
  <c r="G477" i="1"/>
  <c r="G523" i="1"/>
  <c r="G584" i="1"/>
  <c r="G589" i="1"/>
  <c r="G616" i="1"/>
  <c r="G621" i="1"/>
  <c r="G625" i="1"/>
  <c r="I630" i="1"/>
  <c r="G632" i="1"/>
  <c r="G635" i="1"/>
  <c r="I694" i="1"/>
  <c r="I695" i="1"/>
  <c r="I696" i="1"/>
  <c r="I697" i="1"/>
  <c r="G703" i="1"/>
  <c r="I706" i="1"/>
  <c r="G711" i="1"/>
  <c r="E724" i="1"/>
  <c r="G726" i="1"/>
  <c r="G731" i="1"/>
  <c r="I737" i="1"/>
  <c r="F743" i="1"/>
  <c r="G752" i="1"/>
  <c r="G757" i="1"/>
  <c r="G782" i="1"/>
  <c r="I787" i="1"/>
  <c r="H860" i="1"/>
  <c r="E859" i="1"/>
  <c r="H859" i="1" s="1"/>
  <c r="G861" i="1"/>
  <c r="H864" i="1"/>
  <c r="H348" i="1"/>
  <c r="H399" i="1"/>
  <c r="G526" i="1"/>
  <c r="G586" i="1"/>
  <c r="G592" i="1"/>
  <c r="G618" i="1"/>
  <c r="F623" i="1"/>
  <c r="G627" i="1"/>
  <c r="G630" i="1"/>
  <c r="G645" i="1"/>
  <c r="H675" i="1"/>
  <c r="I699" i="1"/>
  <c r="G729" i="1"/>
  <c r="I734" i="1"/>
  <c r="I754" i="1"/>
  <c r="F756" i="1"/>
  <c r="I757" i="1" s="1"/>
  <c r="F759" i="1"/>
  <c r="I762" i="1" s="1"/>
  <c r="G762" i="1"/>
  <c r="F781" i="1"/>
  <c r="I784" i="1" s="1"/>
  <c r="G784" i="1"/>
  <c r="E785" i="1"/>
  <c r="H785" i="1" s="1"/>
  <c r="G835" i="1"/>
  <c r="G837" i="1"/>
  <c r="G840" i="1"/>
  <c r="G843" i="1"/>
  <c r="G845" i="1"/>
  <c r="E850" i="1"/>
  <c r="H850" i="1" s="1"/>
  <c r="I645" i="1"/>
  <c r="E743" i="1"/>
  <c r="E764" i="1"/>
  <c r="E789" i="1"/>
  <c r="H789" i="1" s="1"/>
  <c r="H835" i="1"/>
  <c r="F844" i="1"/>
  <c r="I851" i="1"/>
  <c r="H871" i="1"/>
  <c r="G871" i="1"/>
  <c r="G948" i="1"/>
  <c r="I957" i="1"/>
  <c r="I958" i="1"/>
  <c r="H962" i="1"/>
  <c r="I963" i="1"/>
  <c r="I964" i="1"/>
  <c r="G1006" i="1"/>
  <c r="I1063" i="1"/>
  <c r="I1089" i="1"/>
  <c r="H1126" i="1"/>
  <c r="G1171" i="1"/>
  <c r="G1179" i="1"/>
  <c r="F867" i="1"/>
  <c r="H868" i="1"/>
  <c r="I897" i="1"/>
  <c r="I918" i="1"/>
  <c r="G956" i="1"/>
  <c r="G962" i="1"/>
  <c r="G967" i="1"/>
  <c r="I975" i="1"/>
  <c r="I976" i="1"/>
  <c r="I977" i="1"/>
  <c r="I1006" i="1"/>
  <c r="H1027" i="1"/>
  <c r="H1060" i="1"/>
  <c r="I1061" i="1"/>
  <c r="H1079" i="1"/>
  <c r="H1086" i="1"/>
  <c r="I1087" i="1"/>
  <c r="G1172" i="1"/>
  <c r="G1174" i="1"/>
  <c r="G1176" i="1"/>
  <c r="H1180" i="1"/>
  <c r="H1182" i="1"/>
  <c r="H1186" i="1"/>
  <c r="G1187" i="1"/>
  <c r="H1189" i="1"/>
  <c r="H1190" i="1"/>
  <c r="G1190" i="1"/>
  <c r="H1198" i="1"/>
  <c r="H1200" i="1"/>
  <c r="I912" i="1"/>
  <c r="I913" i="1"/>
  <c r="I914" i="1"/>
  <c r="I915" i="1"/>
  <c r="I916" i="1"/>
  <c r="I917" i="1"/>
  <c r="I967" i="1"/>
  <c r="I1120" i="1"/>
  <c r="I1124" i="1"/>
  <c r="F1188" i="1"/>
  <c r="I1190" i="1" s="1"/>
  <c r="G1198" i="1"/>
  <c r="G1200" i="1"/>
  <c r="H1236" i="1"/>
  <c r="H1239" i="1"/>
  <c r="F1246" i="1"/>
  <c r="I1247" i="1" s="1"/>
  <c r="H1254" i="1"/>
  <c r="H1266" i="1"/>
  <c r="H1268" i="1"/>
  <c r="G1274" i="1"/>
  <c r="H1274" i="1"/>
  <c r="I1476" i="1"/>
  <c r="I1477" i="1"/>
  <c r="I1533" i="1"/>
  <c r="H1563" i="1"/>
  <c r="H1586" i="1"/>
  <c r="H1627" i="1"/>
  <c r="I1628" i="1"/>
  <c r="D1702" i="1"/>
  <c r="G1702" i="1" s="1"/>
  <c r="G1698" i="1"/>
  <c r="I1701" i="1"/>
  <c r="G1265" i="1"/>
  <c r="I1267" i="1"/>
  <c r="G1272" i="1"/>
  <c r="I1283" i="1"/>
  <c r="I1284" i="1"/>
  <c r="G1735" i="1"/>
  <c r="D1740" i="1"/>
  <c r="G1740" i="1" s="1"/>
  <c r="I1850" i="1"/>
  <c r="G1853" i="1"/>
  <c r="I1852" i="1"/>
  <c r="H1423" i="1"/>
  <c r="E1478" i="1"/>
  <c r="H1478" i="1" s="1"/>
  <c r="H1534" i="1"/>
  <c r="I1647" i="1"/>
  <c r="I1648" i="1"/>
  <c r="I1649" i="1"/>
  <c r="I1650" i="1"/>
  <c r="I1651" i="1"/>
  <c r="G1652" i="1"/>
  <c r="I1676" i="1"/>
  <c r="I1675" i="1"/>
  <c r="I1697" i="1"/>
  <c r="H2013" i="1"/>
  <c r="G2013" i="1"/>
  <c r="H1843" i="1"/>
  <c r="I1905" i="1"/>
  <c r="I2009" i="1"/>
  <c r="H2084" i="1"/>
  <c r="I2123" i="1"/>
  <c r="H2191" i="1"/>
  <c r="I2235" i="1"/>
  <c r="I2452" i="1"/>
  <c r="H2454" i="1"/>
  <c r="G2462" i="1"/>
  <c r="I2509" i="1"/>
  <c r="H2512" i="1"/>
  <c r="H2523" i="1"/>
  <c r="D1793" i="1"/>
  <c r="G1793" i="1" s="1"/>
  <c r="D2236" i="1"/>
  <c r="G2236" i="1" s="1"/>
  <c r="I2312" i="1"/>
  <c r="H2403" i="1"/>
  <c r="I2524" i="1"/>
  <c r="I2525" i="1"/>
  <c r="I2526" i="1"/>
  <c r="I2527" i="1"/>
  <c r="G2528" i="1"/>
  <c r="G2587" i="1"/>
  <c r="I2591" i="1"/>
  <c r="I1738" i="1"/>
  <c r="H1793" i="1"/>
  <c r="H1868" i="1"/>
  <c r="H1917" i="1"/>
  <c r="I1955" i="1"/>
  <c r="I1960" i="1"/>
  <c r="G1961" i="1"/>
  <c r="H1984" i="1"/>
  <c r="I2011" i="1"/>
  <c r="G2012" i="1"/>
  <c r="H2027" i="1"/>
  <c r="I2080" i="1"/>
  <c r="I2081" i="1"/>
  <c r="I2082" i="1"/>
  <c r="I2083" i="1"/>
  <c r="G2084" i="1"/>
  <c r="H2124" i="1"/>
  <c r="I2190" i="1"/>
  <c r="H2236" i="1"/>
  <c r="I2566" i="1"/>
  <c r="I2570" i="1" s="1"/>
  <c r="E2575" i="1"/>
  <c r="H2587" i="1"/>
  <c r="I2590" i="1"/>
  <c r="I1849" i="1"/>
  <c r="G1850" i="1"/>
  <c r="I1959" i="1"/>
  <c r="I2010" i="1"/>
  <c r="H2012" i="1"/>
  <c r="I2402" i="1"/>
  <c r="I2453" i="1"/>
  <c r="I2463" i="1"/>
  <c r="I2464" i="1"/>
  <c r="I2465" i="1"/>
  <c r="I2466" i="1"/>
  <c r="I2511" i="1"/>
  <c r="K257" i="1" l="1"/>
  <c r="I461" i="1"/>
  <c r="H1567" i="1"/>
  <c r="I1565" i="1"/>
  <c r="I316" i="1"/>
  <c r="G274" i="1"/>
  <c r="I289" i="1"/>
  <c r="I309" i="1"/>
  <c r="I272" i="1"/>
  <c r="G269" i="1"/>
  <c r="F1289" i="1"/>
  <c r="I770" i="1"/>
  <c r="I767" i="1"/>
  <c r="I771" i="1"/>
  <c r="I1233" i="1"/>
  <c r="I1232" i="1"/>
  <c r="I1231" i="1"/>
  <c r="I1230" i="1"/>
  <c r="I1229" i="1"/>
  <c r="I1228" i="1"/>
  <c r="I1237" i="1"/>
  <c r="I1227" i="1"/>
  <c r="I1235" i="1"/>
  <c r="I1234" i="1"/>
  <c r="H1258" i="1"/>
  <c r="I1260" i="1"/>
  <c r="I1587" i="1"/>
  <c r="I1249" i="1"/>
  <c r="I1256" i="1"/>
  <c r="F872" i="1"/>
  <c r="I863" i="1" s="1"/>
  <c r="G1589" i="1"/>
  <c r="I1585" i="1"/>
  <c r="I1564" i="1"/>
  <c r="I1588" i="1"/>
  <c r="I1584" i="1"/>
  <c r="I1563" i="1"/>
  <c r="G1567" i="1"/>
  <c r="I1562" i="1"/>
  <c r="I712" i="1"/>
  <c r="I713" i="1"/>
  <c r="I187" i="1"/>
  <c r="I203" i="1"/>
  <c r="I202" i="1"/>
  <c r="E872" i="1"/>
  <c r="I2012" i="1"/>
  <c r="I2013" i="1" s="1"/>
  <c r="I247" i="1"/>
  <c r="F1201" i="1"/>
  <c r="I1083" i="1"/>
  <c r="E800" i="1"/>
  <c r="I750" i="1"/>
  <c r="I747" i="1"/>
  <c r="I744" i="1"/>
  <c r="I748" i="1"/>
  <c r="I745" i="1"/>
  <c r="I749" i="1"/>
  <c r="I746" i="1"/>
  <c r="I751" i="1"/>
  <c r="F355" i="1"/>
  <c r="F354" i="1" s="1"/>
  <c r="F357" i="1" s="1"/>
  <c r="D354" i="1"/>
  <c r="D357" i="1" s="1"/>
  <c r="F301" i="1"/>
  <c r="H2528" i="1"/>
  <c r="H2313" i="1"/>
  <c r="H1652" i="1"/>
  <c r="H2467" i="1"/>
  <c r="H1873" i="1"/>
  <c r="H1702" i="1"/>
  <c r="H600" i="1"/>
  <c r="I1908" i="1"/>
  <c r="H310" i="1"/>
  <c r="I2066" i="1"/>
  <c r="I776" i="1"/>
  <c r="I1198" i="1"/>
  <c r="F1206" i="1"/>
  <c r="G1184" i="1"/>
  <c r="I1180" i="1"/>
  <c r="H1011" i="1"/>
  <c r="I1179" i="1"/>
  <c r="G1178" i="1"/>
  <c r="G681" i="1"/>
  <c r="I588" i="1"/>
  <c r="I1678" i="1"/>
  <c r="I722" i="1"/>
  <c r="E357" i="1"/>
  <c r="I708" i="1"/>
  <c r="I1626" i="1"/>
  <c r="I1625" i="1"/>
  <c r="I1007" i="1"/>
  <c r="I1627" i="1"/>
  <c r="E2579" i="1"/>
  <c r="I234" i="1"/>
  <c r="F800" i="1"/>
  <c r="H1178" i="1"/>
  <c r="I1186" i="1"/>
  <c r="H268" i="1"/>
  <c r="I1010" i="1"/>
  <c r="I2313" i="1"/>
  <c r="I591" i="1"/>
  <c r="I589" i="1"/>
  <c r="F646" i="1"/>
  <c r="I637" i="1" s="1"/>
  <c r="I1171" i="1"/>
  <c r="I966" i="1"/>
  <c r="H974" i="1"/>
  <c r="G528" i="1"/>
  <c r="G1011" i="1"/>
  <c r="I1008" i="1"/>
  <c r="H269" i="1"/>
  <c r="G268" i="1"/>
  <c r="H1263" i="1"/>
  <c r="I1199" i="1"/>
  <c r="I2403" i="1"/>
  <c r="I679" i="1"/>
  <c r="I2191" i="1"/>
  <c r="I1185" i="1"/>
  <c r="I675" i="1"/>
  <c r="H1184" i="1"/>
  <c r="H707" i="1"/>
  <c r="I709" i="1"/>
  <c r="H681" i="1"/>
  <c r="I676" i="1"/>
  <c r="I288" i="1"/>
  <c r="I290" i="1" s="1"/>
  <c r="I678" i="1"/>
  <c r="I680" i="1"/>
  <c r="H274" i="1"/>
  <c r="I265" i="1"/>
  <c r="I1126" i="1"/>
  <c r="I719" i="1"/>
  <c r="I677" i="1"/>
  <c r="I720" i="1"/>
  <c r="I1079" i="1"/>
  <c r="I525" i="1"/>
  <c r="I726" i="1"/>
  <c r="I711" i="1"/>
  <c r="G707" i="1"/>
  <c r="I710" i="1"/>
  <c r="G633" i="1"/>
  <c r="I634" i="1"/>
  <c r="H492" i="1"/>
  <c r="I197" i="1"/>
  <c r="I526" i="1"/>
  <c r="I1028" i="1"/>
  <c r="I1031" i="1"/>
  <c r="I1022" i="1"/>
  <c r="G791" i="1"/>
  <c r="I523" i="1"/>
  <c r="H506" i="1"/>
  <c r="H633" i="1"/>
  <c r="I522" i="1"/>
  <c r="I524" i="1"/>
  <c r="I1454" i="1"/>
  <c r="H256" i="1"/>
  <c r="I263" i="1"/>
  <c r="G324" i="1"/>
  <c r="I570" i="1"/>
  <c r="I192" i="1"/>
  <c r="I184" i="1"/>
  <c r="I186" i="1"/>
  <c r="I2124" i="1"/>
  <c r="G1170" i="1"/>
  <c r="I584" i="1"/>
  <c r="I586" i="1"/>
  <c r="G600" i="1"/>
  <c r="I585" i="1"/>
  <c r="H333" i="1"/>
  <c r="H1629" i="1"/>
  <c r="H1170" i="1"/>
  <c r="I1173" i="1"/>
  <c r="I592" i="1"/>
  <c r="H335" i="1"/>
  <c r="I593" i="1"/>
  <c r="H334" i="1"/>
  <c r="I731" i="1"/>
  <c r="I2032" i="1"/>
  <c r="H528" i="1"/>
  <c r="I493" i="1"/>
  <c r="I1984" i="1"/>
  <c r="I1922" i="1"/>
  <c r="H1850" i="1"/>
  <c r="I1172" i="1"/>
  <c r="G492" i="1"/>
  <c r="I483" i="1"/>
  <c r="H482" i="1"/>
  <c r="G474" i="1"/>
  <c r="I193" i="1"/>
  <c r="I198" i="1"/>
  <c r="I191" i="1"/>
  <c r="I207" i="1"/>
  <c r="I477" i="1"/>
  <c r="H404" i="1"/>
  <c r="I475" i="1"/>
  <c r="I194" i="1"/>
  <c r="I185" i="1"/>
  <c r="I204" i="1"/>
  <c r="I201" i="1"/>
  <c r="G488" i="1"/>
  <c r="H474" i="1"/>
  <c r="I180" i="1"/>
  <c r="I179" i="1"/>
  <c r="I188" i="1"/>
  <c r="H212" i="1"/>
  <c r="I1740" i="1"/>
  <c r="I1534" i="1"/>
  <c r="H1196" i="1"/>
  <c r="I1021" i="1"/>
  <c r="I730" i="1"/>
  <c r="I729" i="1"/>
  <c r="I1197" i="1"/>
  <c r="I1025" i="1"/>
  <c r="G1629" i="1"/>
  <c r="I728" i="1"/>
  <c r="I727" i="1"/>
  <c r="I725" i="1"/>
  <c r="I1423" i="1"/>
  <c r="I1873" i="1"/>
  <c r="G310" i="1"/>
  <c r="I2236" i="1"/>
  <c r="G1196" i="1"/>
  <c r="I1029" i="1"/>
  <c r="G1035" i="1"/>
  <c r="I1023" i="1"/>
  <c r="I900" i="1"/>
  <c r="G724" i="1"/>
  <c r="H724" i="1" s="1"/>
  <c r="I478" i="1"/>
  <c r="H488" i="1"/>
  <c r="I1702" i="1"/>
  <c r="I1793" i="1"/>
  <c r="I2467" i="1"/>
  <c r="I1086" i="1"/>
  <c r="I2084" i="1"/>
  <c r="I2528" i="1"/>
  <c r="I1853" i="1"/>
  <c r="I1254" i="1"/>
  <c r="I1265" i="1"/>
  <c r="I1027" i="1"/>
  <c r="I1200" i="1"/>
  <c r="I490" i="1"/>
  <c r="I2592" i="1"/>
  <c r="G1268" i="1"/>
  <c r="I1478" i="1"/>
  <c r="I792" i="1"/>
  <c r="H791" i="1"/>
  <c r="I510" i="1"/>
  <c r="G506" i="1"/>
  <c r="I509" i="1"/>
  <c r="H291" i="1"/>
  <c r="G291" i="1"/>
  <c r="I507" i="1"/>
  <c r="I489" i="1"/>
  <c r="H1238" i="1"/>
  <c r="I1245" i="1"/>
  <c r="I1244" i="1"/>
  <c r="I1243" i="1"/>
  <c r="I1242" i="1"/>
  <c r="I1241" i="1"/>
  <c r="G1238" i="1"/>
  <c r="I919" i="1"/>
  <c r="G867" i="1"/>
  <c r="I870" i="1"/>
  <c r="H867" i="1"/>
  <c r="I869" i="1"/>
  <c r="I846" i="1"/>
  <c r="H844" i="1"/>
  <c r="G844" i="1"/>
  <c r="I1060" i="1"/>
  <c r="G693" i="1"/>
  <c r="G623" i="1"/>
  <c r="I624" i="1"/>
  <c r="H623" i="1"/>
  <c r="I845" i="1"/>
  <c r="G344" i="1"/>
  <c r="I345" i="1"/>
  <c r="I346" i="1"/>
  <c r="I1262" i="1"/>
  <c r="I1259" i="1"/>
  <c r="H1257" i="1"/>
  <c r="G1257" i="1"/>
  <c r="I839" i="1"/>
  <c r="I838" i="1"/>
  <c r="H836" i="1"/>
  <c r="G836" i="1"/>
  <c r="H693" i="1"/>
  <c r="H743" i="1"/>
  <c r="G743" i="1"/>
  <c r="G236" i="1"/>
  <c r="F235" i="1"/>
  <c r="I1961" i="1"/>
  <c r="I1253" i="1"/>
  <c r="I1251" i="1"/>
  <c r="I1255" i="1"/>
  <c r="H1248" i="1"/>
  <c r="I1250" i="1"/>
  <c r="G1248" i="1"/>
  <c r="I1239" i="1"/>
  <c r="H1246" i="1"/>
  <c r="G1246" i="1"/>
  <c r="H1188" i="1"/>
  <c r="G1188" i="1"/>
  <c r="H966" i="1"/>
  <c r="I968" i="1"/>
  <c r="G966" i="1"/>
  <c r="G1091" i="1"/>
  <c r="I1073" i="1"/>
  <c r="I1068" i="1"/>
  <c r="I1064" i="1"/>
  <c r="I1078" i="1"/>
  <c r="I1074" i="1"/>
  <c r="I1065" i="1"/>
  <c r="I1082" i="1"/>
  <c r="I1075" i="1"/>
  <c r="I1066" i="1"/>
  <c r="I1059" i="1"/>
  <c r="H1091" i="1"/>
  <c r="I1072" i="1"/>
  <c r="I1067" i="1"/>
  <c r="I868" i="1"/>
  <c r="I644" i="1"/>
  <c r="I643" i="1"/>
  <c r="I642" i="1"/>
  <c r="H641" i="1"/>
  <c r="G641" i="1"/>
  <c r="H956" i="1"/>
  <c r="I783" i="1"/>
  <c r="G781" i="1"/>
  <c r="H781" i="1"/>
  <c r="I761" i="1"/>
  <c r="G759" i="1"/>
  <c r="I760" i="1"/>
  <c r="I763" i="1"/>
  <c r="H759" i="1"/>
  <c r="I617" i="1"/>
  <c r="G615" i="1"/>
  <c r="H615" i="1"/>
  <c r="H629" i="1"/>
  <c r="I631" i="1"/>
  <c r="G629" i="1"/>
  <c r="I618" i="1"/>
  <c r="I625" i="1"/>
  <c r="G404" i="1"/>
  <c r="I322" i="1"/>
  <c r="I323" i="1" s="1"/>
  <c r="H321" i="1"/>
  <c r="F332" i="1"/>
  <c r="G334" i="1"/>
  <c r="I616" i="1"/>
  <c r="H351" i="1"/>
  <c r="I2512" i="1"/>
  <c r="I2454" i="1"/>
  <c r="I1226" i="1"/>
  <c r="H1225" i="1"/>
  <c r="I1248" i="1"/>
  <c r="G1225" i="1"/>
  <c r="I1652" i="1"/>
  <c r="I1258" i="1"/>
  <c r="I1261" i="1"/>
  <c r="I1252" i="1"/>
  <c r="I871" i="1"/>
  <c r="I1189" i="1"/>
  <c r="I758" i="1"/>
  <c r="G756" i="1"/>
  <c r="H756" i="1"/>
  <c r="I837" i="1"/>
  <c r="I779" i="1"/>
  <c r="I778" i="1"/>
  <c r="H764" i="1"/>
  <c r="I777" i="1"/>
  <c r="I769" i="1"/>
  <c r="I768" i="1"/>
  <c r="I766" i="1"/>
  <c r="G764" i="1"/>
  <c r="I765" i="1"/>
  <c r="H302" i="1"/>
  <c r="G302" i="1"/>
  <c r="I782" i="1"/>
  <c r="G317" i="1"/>
  <c r="H317" i="1"/>
  <c r="G212" i="1"/>
  <c r="I1193" i="1" l="1"/>
  <c r="I1192" i="1"/>
  <c r="I1589" i="1"/>
  <c r="I266" i="1"/>
  <c r="I324" i="1"/>
  <c r="I291" i="1"/>
  <c r="I248" i="1"/>
  <c r="I321" i="1"/>
  <c r="I256" i="1"/>
  <c r="I268" i="1"/>
  <c r="I269" i="1" s="1"/>
  <c r="I317" i="1"/>
  <c r="I235" i="1"/>
  <c r="I236" i="1"/>
  <c r="I274" i="1"/>
  <c r="I334" i="1"/>
  <c r="I332" i="1"/>
  <c r="I335" i="1"/>
  <c r="I301" i="1"/>
  <c r="I310" i="1"/>
  <c r="I1567" i="1"/>
  <c r="I1091" i="1"/>
  <c r="I600" i="1"/>
  <c r="I1035" i="1"/>
  <c r="I733" i="1"/>
  <c r="I1629" i="1"/>
  <c r="I1011" i="1"/>
  <c r="I681" i="1"/>
  <c r="I844" i="1"/>
  <c r="I864" i="1"/>
  <c r="I641" i="1"/>
  <c r="I638" i="1"/>
  <c r="I212" i="1"/>
  <c r="I528" i="1"/>
  <c r="I488" i="1"/>
  <c r="I481" i="1"/>
  <c r="I485" i="1"/>
  <c r="I495" i="1"/>
  <c r="I486" i="1"/>
  <c r="I474" i="1"/>
  <c r="G511" i="1"/>
  <c r="I473" i="1"/>
  <c r="I756" i="1"/>
  <c r="I785" i="1"/>
  <c r="I693" i="1"/>
  <c r="I479" i="1"/>
  <c r="I506" i="1"/>
  <c r="I480" i="1"/>
  <c r="I492" i="1"/>
  <c r="I487" i="1"/>
  <c r="I491" i="1"/>
  <c r="I482" i="1"/>
  <c r="I497" i="1"/>
  <c r="H511" i="1"/>
  <c r="I743" i="1"/>
  <c r="I759" i="1"/>
  <c r="I752" i="1"/>
  <c r="I724" i="1"/>
  <c r="I789" i="1"/>
  <c r="G800" i="1"/>
  <c r="I707" i="1"/>
  <c r="I703" i="1"/>
  <c r="I764" i="1"/>
  <c r="I781" i="1"/>
  <c r="H800" i="1"/>
  <c r="I791" i="1"/>
  <c r="I629" i="1"/>
  <c r="I615" i="1"/>
  <c r="H1201" i="1"/>
  <c r="I1196" i="1"/>
  <c r="D1206" i="1" s="1"/>
  <c r="I1177" i="1"/>
  <c r="I1175" i="1"/>
  <c r="I1169" i="1"/>
  <c r="I1183" i="1"/>
  <c r="I1181" i="1"/>
  <c r="G1201" i="1"/>
  <c r="I1182" i="1"/>
  <c r="D1208" i="1" s="1"/>
  <c r="I1174" i="1"/>
  <c r="I1187" i="1"/>
  <c r="I1191" i="1"/>
  <c r="I1184" i="1"/>
  <c r="I1176" i="1"/>
  <c r="I1178" i="1"/>
  <c r="I1170" i="1"/>
  <c r="I836" i="1"/>
  <c r="G355" i="1"/>
  <c r="H355" i="1"/>
  <c r="G301" i="1"/>
  <c r="H301" i="1"/>
  <c r="I862" i="1"/>
  <c r="I859" i="1"/>
  <c r="G872" i="1"/>
  <c r="I848" i="1"/>
  <c r="I858" i="1"/>
  <c r="I847" i="1"/>
  <c r="I842" i="1"/>
  <c r="H872" i="1"/>
  <c r="I841" i="1"/>
  <c r="I849" i="1"/>
  <c r="I850" i="1"/>
  <c r="I835" i="1"/>
  <c r="I840" i="1"/>
  <c r="I843" i="1"/>
  <c r="I1272" i="1"/>
  <c r="H1289" i="1"/>
  <c r="G1289" i="1"/>
  <c r="H1284" i="1"/>
  <c r="I1263" i="1"/>
  <c r="I1274" i="1"/>
  <c r="I1266" i="1"/>
  <c r="I1257" i="1"/>
  <c r="H979" i="1"/>
  <c r="G979" i="1"/>
  <c r="I961" i="1"/>
  <c r="I960" i="1"/>
  <c r="I959" i="1"/>
  <c r="I955" i="1"/>
  <c r="I954" i="1"/>
  <c r="I953" i="1"/>
  <c r="I952" i="1"/>
  <c r="I948" i="1"/>
  <c r="I971" i="1"/>
  <c r="I969" i="1"/>
  <c r="I965" i="1"/>
  <c r="I947" i="1"/>
  <c r="I956" i="1"/>
  <c r="I962" i="1"/>
  <c r="I974" i="1"/>
  <c r="I302" i="1"/>
  <c r="I636" i="1"/>
  <c r="I626" i="1"/>
  <c r="I622" i="1"/>
  <c r="I614" i="1"/>
  <c r="H646" i="1"/>
  <c r="I628" i="1"/>
  <c r="I620" i="1"/>
  <c r="I619" i="1"/>
  <c r="G646" i="1"/>
  <c r="I627" i="1"/>
  <c r="I633" i="1"/>
  <c r="I621" i="1"/>
  <c r="I632" i="1"/>
  <c r="I1246" i="1"/>
  <c r="I867" i="1"/>
  <c r="I1225" i="1"/>
  <c r="H332" i="1"/>
  <c r="I333" i="1"/>
  <c r="I348" i="1"/>
  <c r="G332" i="1"/>
  <c r="I1188" i="1"/>
  <c r="H235" i="1"/>
  <c r="G235" i="1"/>
  <c r="I344" i="1"/>
  <c r="I623" i="1"/>
  <c r="I1238" i="1"/>
  <c r="I1201" i="1" l="1"/>
  <c r="I979" i="1"/>
  <c r="I872" i="1"/>
  <c r="I646" i="1"/>
  <c r="I511" i="1"/>
  <c r="D1207" i="1"/>
  <c r="I355" i="1"/>
  <c r="I800" i="1"/>
  <c r="I1289" i="1"/>
  <c r="G354" i="1"/>
  <c r="H354" i="1"/>
  <c r="I356" i="1"/>
  <c r="I354" i="1" l="1"/>
  <c r="I353" i="1"/>
  <c r="I352" i="1"/>
  <c r="H357" i="1"/>
  <c r="I351" i="1"/>
  <c r="G323" i="1"/>
  <c r="G321" i="1"/>
  <c r="G322" i="1"/>
  <c r="G357" i="1"/>
  <c r="I357" i="1" l="1"/>
  <c r="G351" i="1"/>
  <c r="I1513" i="1"/>
  <c r="G1905" i="1"/>
  <c r="E2293" i="1"/>
  <c r="H2293" i="1" s="1"/>
  <c r="E2297" i="1" l="1"/>
  <c r="H2297" i="1" s="1"/>
  <c r="D2567" i="1"/>
  <c r="D2570" i="1" s="1"/>
  <c r="G2570" i="1" s="1"/>
  <c r="I1398" i="1"/>
  <c r="I1397" i="1"/>
  <c r="I1402" i="1"/>
  <c r="G1405" i="1"/>
  <c r="I1400" i="1"/>
  <c r="H1405" i="1"/>
  <c r="I1396" i="1"/>
  <c r="I1399" i="1"/>
  <c r="I1401" i="1"/>
  <c r="F1406" i="1"/>
  <c r="I1404" i="1" s="1"/>
  <c r="I1395" i="1"/>
  <c r="G1406" i="1" l="1"/>
  <c r="H1406" i="1"/>
  <c r="I1403" i="1"/>
  <c r="I1405" i="1" s="1"/>
  <c r="I1406" i="1" s="1"/>
</calcChain>
</file>

<file path=xl/sharedStrings.xml><?xml version="1.0" encoding="utf-8"?>
<sst xmlns="http://schemas.openxmlformats.org/spreadsheetml/2006/main" count="2425" uniqueCount="1105">
  <si>
    <t xml:space="preserve">   </t>
  </si>
  <si>
    <t>R E P U B L I K A     E    K O S O V Ë S</t>
  </si>
  <si>
    <t>R E P U B L I K    OF    K O S O V O</t>
  </si>
  <si>
    <t xml:space="preserve">R E P U B L I K A    K O S O V A </t>
  </si>
  <si>
    <t>KOMUNA E PEJËS   MUNICIPALITY OF PEJA   OPŠTINA  PEĆ</t>
  </si>
  <si>
    <t>DREJTORATI PËR  BUXHET E FINANCA</t>
  </si>
  <si>
    <t xml:space="preserve">   RAPORTI  </t>
  </si>
  <si>
    <t xml:space="preserve">I  TË HYRAVE DHE SHPENZIMEVE TË REALIZUARA BUXHETORE PËR PERIUDHËN </t>
  </si>
  <si>
    <t>PËRMBAJTJA :</t>
  </si>
  <si>
    <t xml:space="preserve">Përshkrimi                                                                                                                                                            </t>
  </si>
  <si>
    <t>Faqja</t>
  </si>
  <si>
    <t>Përmbajtja</t>
  </si>
  <si>
    <t>2</t>
  </si>
  <si>
    <t>Të dhënat e punësimit</t>
  </si>
  <si>
    <t>3</t>
  </si>
  <si>
    <t>4 - 6</t>
  </si>
  <si>
    <t xml:space="preserve">Zyra e Kryetarit </t>
  </si>
  <si>
    <t xml:space="preserve">Administrata dhe personeli </t>
  </si>
  <si>
    <t xml:space="preserve">Çështjet gjinore </t>
  </si>
  <si>
    <t>23</t>
  </si>
  <si>
    <t xml:space="preserve">Integrimet Europiane </t>
  </si>
  <si>
    <t xml:space="preserve">Inspekcioni </t>
  </si>
  <si>
    <t xml:space="preserve">Prokurimi </t>
  </si>
  <si>
    <t xml:space="preserve">Asambleja Komunale </t>
  </si>
  <si>
    <t>25</t>
  </si>
  <si>
    <t>Buxhet e financa</t>
  </si>
  <si>
    <t>Punë komunale , shërbime publike</t>
  </si>
  <si>
    <t>Emergjenca - zjarrëfikësat</t>
  </si>
  <si>
    <t xml:space="preserve">Zyra komunale për komunitete dhe kthim </t>
  </si>
  <si>
    <t xml:space="preserve">Bujqësi , pylltari , zhvillim rural </t>
  </si>
  <si>
    <t>Zhvillimi ekonomik</t>
  </si>
  <si>
    <t xml:space="preserve">Gjeodezi dhe kadastër </t>
  </si>
  <si>
    <t xml:space="preserve">Çështje pronësoro - juridike </t>
  </si>
  <si>
    <t xml:space="preserve">Planifikimi urban dhe mjedisi </t>
  </si>
  <si>
    <t>32</t>
  </si>
  <si>
    <t>Shëndetësia - Administrata</t>
  </si>
  <si>
    <t xml:space="preserve">Shëndetësia - Kujdesi primar shëndetsor </t>
  </si>
  <si>
    <t>33</t>
  </si>
  <si>
    <t xml:space="preserve">Shëndetësia - Shërbime sociale </t>
  </si>
  <si>
    <t>34</t>
  </si>
  <si>
    <t>Kulturë , rini , sport</t>
  </si>
  <si>
    <t xml:space="preserve">Arsimi - Administrata </t>
  </si>
  <si>
    <t>35</t>
  </si>
  <si>
    <t xml:space="preserve">Arsimi - Arsimi parashkollor - Çerdhet </t>
  </si>
  <si>
    <t xml:space="preserve">Arsimi - Arsimi fillor </t>
  </si>
  <si>
    <t xml:space="preserve">Arsimi - Arsimi i mesëm </t>
  </si>
  <si>
    <t>37</t>
  </si>
  <si>
    <t xml:space="preserve">                TË DHËNAT E PUNËSIMIT</t>
  </si>
  <si>
    <t xml:space="preserve">Kodi </t>
  </si>
  <si>
    <t>Emërtimi i kodit</t>
  </si>
  <si>
    <t>Numri aktual</t>
  </si>
  <si>
    <t>Planifikimi</t>
  </si>
  <si>
    <t xml:space="preserve">Progresi : </t>
  </si>
  <si>
    <t xml:space="preserve">% </t>
  </si>
  <si>
    <t>i programit</t>
  </si>
  <si>
    <t xml:space="preserve"> 5 / 3</t>
  </si>
  <si>
    <t xml:space="preserve"> 5 / 4</t>
  </si>
  <si>
    <t>Zyra e Kryetarit</t>
  </si>
  <si>
    <t xml:space="preserve">( I+II+III )  Administrata dhe personeli </t>
  </si>
  <si>
    <t xml:space="preserve">         I.   Administrata </t>
  </si>
  <si>
    <t xml:space="preserve">         II.  Çështjet gjinore</t>
  </si>
  <si>
    <t>1</t>
  </si>
  <si>
    <t xml:space="preserve">         III. Integrimet europiane</t>
  </si>
  <si>
    <t>Inspeksioni</t>
  </si>
  <si>
    <t>Prokurimi</t>
  </si>
  <si>
    <t>Asambleja komunale</t>
  </si>
  <si>
    <t>(I+II) Punë komunale,shërbime publike</t>
  </si>
  <si>
    <t xml:space="preserve">         I.    Infrastruktura rrugore</t>
  </si>
  <si>
    <t xml:space="preserve">         II.   Emergjenca - zjarrëfikësat</t>
  </si>
  <si>
    <t>Zyra lokale e komuniteteve</t>
  </si>
  <si>
    <t>Bujqësi , pylltari , zhvillim rural</t>
  </si>
  <si>
    <t>Zhvillim ekonomik</t>
  </si>
  <si>
    <t xml:space="preserve">     ( I+II ) Gjeodezi dhe kadastër</t>
  </si>
  <si>
    <t>Planifikimi urban dhe mjedisi</t>
  </si>
  <si>
    <t>Shëndetësia</t>
  </si>
  <si>
    <t xml:space="preserve">              - Administrata</t>
  </si>
  <si>
    <t xml:space="preserve">              - Kujdesi primar shëndetsor</t>
  </si>
  <si>
    <t>Shërbimet Sociale</t>
  </si>
  <si>
    <t>Arsimi</t>
  </si>
  <si>
    <t xml:space="preserve">             - Administrata</t>
  </si>
  <si>
    <t xml:space="preserve">             - Arsimi parashkollor - Çerdhet</t>
  </si>
  <si>
    <t xml:space="preserve">             - Arsimi fillor</t>
  </si>
  <si>
    <t xml:space="preserve">             - Arsimi i mesëm</t>
  </si>
  <si>
    <t>Totali :</t>
  </si>
  <si>
    <t>( në euro )</t>
  </si>
  <si>
    <t xml:space="preserve">Realizimi </t>
  </si>
  <si>
    <t xml:space="preserve">Realizimi                 </t>
  </si>
  <si>
    <t>ekonomik</t>
  </si>
  <si>
    <t xml:space="preserve">Administrata </t>
  </si>
  <si>
    <t>Taksa për çertifikata të lindjes</t>
  </si>
  <si>
    <t>Taksa për çertifikata të kurorëzimit</t>
  </si>
  <si>
    <t>Taksa për çertifikata të vdekjes</t>
  </si>
  <si>
    <t>Taksa për çertifikata të ofiqarisë</t>
  </si>
  <si>
    <t>Taksa për fotokopjim të dokumenteve</t>
  </si>
  <si>
    <t>Taksa tjera administrative</t>
  </si>
  <si>
    <t>Taksa për shtetësi</t>
  </si>
  <si>
    <t>Të hyrat vetanake</t>
  </si>
  <si>
    <t>Inspekcioni</t>
  </si>
  <si>
    <t>Gjobat nga gjykatat</t>
  </si>
  <si>
    <t>Gjobat nga inspektorati - denimet mandatore</t>
  </si>
  <si>
    <t>Licencat për pranim teknik të lokalit</t>
  </si>
  <si>
    <t>Inspektimi i artikujve ushqimor</t>
  </si>
  <si>
    <t>Inspektimi veterinar brenda vendit</t>
  </si>
  <si>
    <t>Inspektimi higjienik sanitar</t>
  </si>
  <si>
    <t>Tatimi në pronë</t>
  </si>
  <si>
    <t>Tatimi në tokë</t>
  </si>
  <si>
    <t>Taksa e regjistrimit të automjeteve</t>
  </si>
  <si>
    <t>Gjobat në trafik</t>
  </si>
  <si>
    <t>Licenca të tjera në afarizëm</t>
  </si>
  <si>
    <t xml:space="preserve"> Të hyrat vetanake</t>
  </si>
  <si>
    <t xml:space="preserve"> Donacionet e jashtme</t>
  </si>
  <si>
    <t xml:space="preserve">            Qeveria Zvicrane</t>
  </si>
  <si>
    <t>( I+II ) Punë komunale , shërbime publike</t>
  </si>
  <si>
    <t>Taksa për parkim publik ,kampim,rekreacion</t>
  </si>
  <si>
    <t>Licenca për rekl.dhe publik.në prona publike</t>
  </si>
  <si>
    <t xml:space="preserve">Taksa për ndrrimin e destinimit të tokës </t>
  </si>
  <si>
    <t>Taksat për zhavor</t>
  </si>
  <si>
    <t>Pëlqimi për eksploatimin e resurseve natyrore</t>
  </si>
  <si>
    <t xml:space="preserve">Çertifikata për transportin e kafshëve </t>
  </si>
  <si>
    <t>Taksa për pjesëmarrje në tender</t>
  </si>
  <si>
    <t>Licenca për gurthyes dhe miniera</t>
  </si>
  <si>
    <t>Të hyrat nga shitja e mallrave</t>
  </si>
  <si>
    <t>Shfrytëzimi i pronës publike</t>
  </si>
  <si>
    <t>Participim i qytetarëve</t>
  </si>
  <si>
    <t>Taksa për verifikim të dokum.të ndryshme</t>
  </si>
  <si>
    <t>Taksat tjera administrative</t>
  </si>
  <si>
    <t xml:space="preserve"> Licencat për shërbime profesionale</t>
  </si>
  <si>
    <t xml:space="preserve"> Licencat për transport të mallrave</t>
  </si>
  <si>
    <t>50208-1</t>
  </si>
  <si>
    <t xml:space="preserve"> Licenca për shërbim të pijeve alkoolike</t>
  </si>
  <si>
    <t>( I+II )  Gjeodezi dhe kadastër</t>
  </si>
  <si>
    <t>I. Shërbime kadastrale</t>
  </si>
  <si>
    <t xml:space="preserve">Taksa për regjistrimin e trashigimisë </t>
  </si>
  <si>
    <t>Regjistrimi i pengut</t>
  </si>
  <si>
    <t>Taksa për matjen e tokës në teren</t>
  </si>
  <si>
    <t>II. Çështjet pronësore - juridike</t>
  </si>
  <si>
    <t>Qiraja  nga objektet publike</t>
  </si>
  <si>
    <t xml:space="preserve">Të hyrat nga shitja e pasurisë </t>
  </si>
  <si>
    <t>Taksa komunale për leje ndërtimi</t>
  </si>
  <si>
    <t>Taksa për legalizimin e objekteve</t>
  </si>
  <si>
    <t>Kujdesi primar shëndetsor - Participim</t>
  </si>
  <si>
    <t>Taksa për parkim , kampim dhe rekreacion</t>
  </si>
  <si>
    <t>Donacionet e jashtme</t>
  </si>
  <si>
    <t>Arsimi parashkollor - Çerdhet</t>
  </si>
  <si>
    <t>Participim</t>
  </si>
  <si>
    <t>Arsimi fillor</t>
  </si>
  <si>
    <t xml:space="preserve">Arsimi i mesëm </t>
  </si>
  <si>
    <t>I . TË HYRAT VETANAKE</t>
  </si>
  <si>
    <t xml:space="preserve">              Donacionet e jashtme</t>
  </si>
  <si>
    <t xml:space="preserve">              Donacionet e brendshme</t>
  </si>
  <si>
    <t>Fondi burimor</t>
  </si>
  <si>
    <t>Emërtimi i fondit</t>
  </si>
  <si>
    <t>Buxheti total</t>
  </si>
  <si>
    <t>Diferenca</t>
  </si>
  <si>
    <t>%</t>
  </si>
  <si>
    <t xml:space="preserve">Granti Qeveritar </t>
  </si>
  <si>
    <t xml:space="preserve">Të hyrat vetanake </t>
  </si>
  <si>
    <t>Donacionet e brendshme</t>
  </si>
  <si>
    <t>32-99</t>
  </si>
  <si>
    <t>`04</t>
  </si>
  <si>
    <t>Huamarrja</t>
  </si>
  <si>
    <t xml:space="preserve">`- Save the children </t>
  </si>
  <si>
    <t>Granti Qeveritar</t>
  </si>
  <si>
    <t>Mjetet e bartura</t>
  </si>
  <si>
    <t xml:space="preserve">Shpenzimi i buxhetit sipas programeve është si vijon : </t>
  </si>
  <si>
    <t xml:space="preserve"> (në euro )</t>
  </si>
  <si>
    <t xml:space="preserve">     - Administrata </t>
  </si>
  <si>
    <t xml:space="preserve">     - Çështjet gjinore</t>
  </si>
  <si>
    <t xml:space="preserve">     - Integrimet europiane</t>
  </si>
  <si>
    <t>Punë komunale,shërbime publike</t>
  </si>
  <si>
    <t xml:space="preserve">     - Infrastruktura rrugore</t>
  </si>
  <si>
    <t xml:space="preserve">     - Emergjenca - zjarrëfikësat</t>
  </si>
  <si>
    <t>Zyra komunale për komunitete dhe kthim</t>
  </si>
  <si>
    <t xml:space="preserve">     - Shërbime kadastrale</t>
  </si>
  <si>
    <t xml:space="preserve">     - Çështje pronësoro - juridike</t>
  </si>
  <si>
    <t xml:space="preserve">     - Administrata</t>
  </si>
  <si>
    <t xml:space="preserve">     - Kujdesi primar shëndetsor</t>
  </si>
  <si>
    <t>Shërbimet sociale</t>
  </si>
  <si>
    <t xml:space="preserve">    - Administrata</t>
  </si>
  <si>
    <t xml:space="preserve">    - Arsimi parashkollor - Çerdhet</t>
  </si>
  <si>
    <t xml:space="preserve">    - Arsimi fillor</t>
  </si>
  <si>
    <t xml:space="preserve">    - Arsimi i mesëm</t>
  </si>
  <si>
    <t>Realizimi i buxhetit sipas kategorive ekonomike është si vijon :</t>
  </si>
  <si>
    <t>ekon.</t>
  </si>
  <si>
    <t xml:space="preserve"> Paga dhe meditje</t>
  </si>
  <si>
    <t xml:space="preserve"> Mallra dhe shërbime</t>
  </si>
  <si>
    <t xml:space="preserve"> Shpenzime komunale</t>
  </si>
  <si>
    <t xml:space="preserve"> Transfere dhe subvencione</t>
  </si>
  <si>
    <t xml:space="preserve"> Investime kapitale</t>
  </si>
  <si>
    <t xml:space="preserve">PAGAT DHE MEDITJET </t>
  </si>
  <si>
    <t xml:space="preserve"> </t>
  </si>
  <si>
    <t>Donatorët e brendshëm</t>
  </si>
  <si>
    <t xml:space="preserve"> Totali :</t>
  </si>
  <si>
    <t>Pagat neto përmes listës së pagave</t>
  </si>
  <si>
    <t>Pagesat për sindikat</t>
  </si>
  <si>
    <t>Antarësim - Oda e mjekëve të Kosovës</t>
  </si>
  <si>
    <t>Kontributi pensional nga punëtori</t>
  </si>
  <si>
    <t>Kontributi pensional nga punëdhënësi</t>
  </si>
  <si>
    <t>Ecuria e realizimit të pagave dhe meditjeve mund të përcjellet nga pasqyrimi i mësipërm tabelar .</t>
  </si>
  <si>
    <t xml:space="preserve"> Granti Qeveritar</t>
  </si>
  <si>
    <t xml:space="preserve"> Mjetet e bartura</t>
  </si>
  <si>
    <t xml:space="preserve"> Donatorët e brendshëm</t>
  </si>
  <si>
    <t>Shpenzimet e udhëtimit</t>
  </si>
  <si>
    <t>Shpenzimet e udhëtimit zyrtar brenda vendit</t>
  </si>
  <si>
    <t>Meditjet e udhëtimit zyrtar brenda vendit</t>
  </si>
  <si>
    <t>Akomodimi gjatë udhëtim.zyrtar brenda vendit</t>
  </si>
  <si>
    <t>Shpenzimet e udhëtimit zyrtar jashtë vendit</t>
  </si>
  <si>
    <t>Meditjet e udhëtimit zyrtar jashtë vendit</t>
  </si>
  <si>
    <t>Shërbimet e telekomunikimit</t>
  </si>
  <si>
    <t>Shpenzimet për internet</t>
  </si>
  <si>
    <t>Shpenzimet e telefonisë mobile</t>
  </si>
  <si>
    <t>Shpenzimet postare</t>
  </si>
  <si>
    <t>Shpenzimet për shërbime</t>
  </si>
  <si>
    <t>Shërbimet e arsimit dhe trajnimit</t>
  </si>
  <si>
    <t>Shërbimet e përfaqësimit dhe avokaturës</t>
  </si>
  <si>
    <t>Shërbime të ndryshme shëndetsore</t>
  </si>
  <si>
    <t>Shërbime  shtypje - jo marketing</t>
  </si>
  <si>
    <t xml:space="preserve">Shërbimet tjera kontraktuese </t>
  </si>
  <si>
    <t>Shërbimet teknike</t>
  </si>
  <si>
    <t>Shpenzimet për antarësim</t>
  </si>
  <si>
    <t>Blerje e mobileve dhe paisjeve (&lt; 1000 € )</t>
  </si>
  <si>
    <t>Mobile ( më pak se 1000 € )</t>
  </si>
  <si>
    <t>Telefona ( më pak se 1000 € )</t>
  </si>
  <si>
    <t>Kompjuter ( më pak se 1000 € )</t>
  </si>
  <si>
    <t>Makina fotokopjuese ( më pak se 1000 € )</t>
  </si>
  <si>
    <t>Paisje speciale mjeksore ( &lt; se 1000 € )</t>
  </si>
  <si>
    <t>Paisje trafiku ( më pak se 1000 €)</t>
  </si>
  <si>
    <t>Paisje tjera ( më pak se 1000 € )</t>
  </si>
  <si>
    <t>Blerje tjera - mallra dhe shërbime</t>
  </si>
  <si>
    <t>Furnizime për zyrë</t>
  </si>
  <si>
    <t>Furnizime mjeksore</t>
  </si>
  <si>
    <t>Furnizime pastrimi</t>
  </si>
  <si>
    <t>Furnizim me veshmbathje</t>
  </si>
  <si>
    <t>Bllombat</t>
  </si>
  <si>
    <t>Derivatet dhe lëndët djegëse</t>
  </si>
  <si>
    <t>Vaj</t>
  </si>
  <si>
    <t>Naftë për ngrohje qendrore</t>
  </si>
  <si>
    <t>Vaj për ngrohje qendrore</t>
  </si>
  <si>
    <t>Qymyr</t>
  </si>
  <si>
    <t>Derivate për gjenerator</t>
  </si>
  <si>
    <t>Gaz natyror</t>
  </si>
  <si>
    <t>Llogaritë e avansit</t>
  </si>
  <si>
    <t>Avans për udhëtime zyrtare</t>
  </si>
  <si>
    <t>Avanc për ambasadat</t>
  </si>
  <si>
    <t>Shërbimet financiare</t>
  </si>
  <si>
    <t>Provizioni bankar - NLB Prishtinë</t>
  </si>
  <si>
    <t>Shërbimet e regjistrimit dhe sigurimit</t>
  </si>
  <si>
    <t>Regjistrimi i automjeteve</t>
  </si>
  <si>
    <t>Sigurimi i automjeteve</t>
  </si>
  <si>
    <t xml:space="preserve">Taksa komunale e regjistrimit të automjeteve </t>
  </si>
  <si>
    <t>Sigurimi i ndërtesave</t>
  </si>
  <si>
    <t>Mirëmbajtja</t>
  </si>
  <si>
    <t>Mirëmbajtja dhe riparimi automjeteve</t>
  </si>
  <si>
    <t>Mirëmbajtja e ndërtesave</t>
  </si>
  <si>
    <t>Mirëmbajtja e ndërtesave të banimit</t>
  </si>
  <si>
    <t>Mirëmbajtja e shkollave</t>
  </si>
  <si>
    <t>Mirëmbajtja e objekteve shëndetsore</t>
  </si>
  <si>
    <t>Mirëmbajtja e auto rrugëve</t>
  </si>
  <si>
    <t>Mirëmbajtja e autorrugëve lokale</t>
  </si>
  <si>
    <t>Mirëmbajtja e teknologjisë informative</t>
  </si>
  <si>
    <t>Mirëmbajtja e mobileve dhe paisjeve</t>
  </si>
  <si>
    <t>Qiraja</t>
  </si>
  <si>
    <t>Qiraja për ndërtesa - depo</t>
  </si>
  <si>
    <t>Qiraja për paisje</t>
  </si>
  <si>
    <t>Qiraja për përdorime tjera hapsinore</t>
  </si>
  <si>
    <t>Shpenzimet e marketingut</t>
  </si>
  <si>
    <t>Reklamat dhe konkurset</t>
  </si>
  <si>
    <t>Botimet e publikimeve</t>
  </si>
  <si>
    <t>Shpenzimet për informim publik</t>
  </si>
  <si>
    <t>Shpenzimet e përfaqësimit</t>
  </si>
  <si>
    <t>Shpenzimet e përfaqësimit - drekat zyrtare</t>
  </si>
  <si>
    <t>Shpenzimet - Vendimet e gjykatave</t>
  </si>
  <si>
    <t>Pagesa - neni 39.2 LMPP</t>
  </si>
  <si>
    <t xml:space="preserve">Mjetet e bartura nga viti paraprak </t>
  </si>
  <si>
    <t>Donatorët e jashtëm</t>
  </si>
  <si>
    <t xml:space="preserve">Punë komunale , shërbime publike  </t>
  </si>
  <si>
    <t>SHPENZIMET KOMUNALE</t>
  </si>
  <si>
    <t xml:space="preserve"> Mbeturinat</t>
  </si>
  <si>
    <t>Ngrohja qendrore</t>
  </si>
  <si>
    <t>Pagesa - Vendime gjyqësore</t>
  </si>
  <si>
    <t xml:space="preserve">Vlen të ceket se bartës të këtyre shpenzimeve gjatë periudhës raportuese janë : </t>
  </si>
  <si>
    <t>TRANSFERET DHE SUBVENCIONET</t>
  </si>
  <si>
    <t>Transfere për qeveri tjera</t>
  </si>
  <si>
    <t>Pagesat për përfitues individual</t>
  </si>
  <si>
    <t>Pensionet për persona me aftësi të kufizuar</t>
  </si>
  <si>
    <t>INVESTIMET KAPITALE</t>
  </si>
  <si>
    <t>Sipas lartësisë së pjesëmarrjes pasojnë :</t>
  </si>
  <si>
    <t>Drejtorati për buxhet e financa</t>
  </si>
  <si>
    <t>ose</t>
  </si>
  <si>
    <t>Drejtorati i arsimit</t>
  </si>
  <si>
    <t>etj.</t>
  </si>
  <si>
    <t>Ndërtesat</t>
  </si>
  <si>
    <t>Ndërtesat e banimit</t>
  </si>
  <si>
    <t>Ndërtesat administrative afariste</t>
  </si>
  <si>
    <t>Objektet kulturore</t>
  </si>
  <si>
    <t>Objekte sportive</t>
  </si>
  <si>
    <t>Strukturat tjera ndërtimore</t>
  </si>
  <si>
    <t xml:space="preserve">Ndërtimi i rrugëve </t>
  </si>
  <si>
    <t xml:space="preserve">Ndërtimi i autorrugëve </t>
  </si>
  <si>
    <t>Ndërtimi i rrugëve lokale</t>
  </si>
  <si>
    <t>Trotuaret</t>
  </si>
  <si>
    <t>Mirëmbajtja investive</t>
  </si>
  <si>
    <t>Paisje ( vlera mbi 1000 € )</t>
  </si>
  <si>
    <t>Paisje të teknologjisë informative</t>
  </si>
  <si>
    <t>Mobile</t>
  </si>
  <si>
    <t>Kompjuter</t>
  </si>
  <si>
    <t>Makina fotokopjuese</t>
  </si>
  <si>
    <t>Softwer</t>
  </si>
  <si>
    <t>Paisje tjera</t>
  </si>
  <si>
    <t>Automjete transporti</t>
  </si>
  <si>
    <t>Vetura zyrtare</t>
  </si>
  <si>
    <t>Vetura të ndihmës së shpejtë</t>
  </si>
  <si>
    <t>Automjete transporti tjera</t>
  </si>
  <si>
    <t>Kapital tjetër</t>
  </si>
  <si>
    <t xml:space="preserve">Avansi për investime </t>
  </si>
  <si>
    <t>Toka</t>
  </si>
  <si>
    <t>Transfere kapital për etnitete jopublike</t>
  </si>
  <si>
    <t>Pagesa - Neni 39.2 LMFPP</t>
  </si>
  <si>
    <t>16019  -  ZYRA E KRYETARIT</t>
  </si>
  <si>
    <t>ADMINISTRATA DHE PERSONELI</t>
  </si>
  <si>
    <t xml:space="preserve"> Planifikimi</t>
  </si>
  <si>
    <t>Taksa për çertifikata tjera të ofiqarisë</t>
  </si>
  <si>
    <t xml:space="preserve">    -Të hyrat vetanake</t>
  </si>
  <si>
    <t>ÇËSHTJET GJINORE</t>
  </si>
  <si>
    <t>Zyra për çështje gjinore , sipas funksionit që ka nuk bën grumbullim të të hyrave .</t>
  </si>
  <si>
    <t>INTEGRIMET EUROPIANE</t>
  </si>
  <si>
    <t>Integrimet europiane nuk bëjnë grumbullim të të hyrave ndërsa shpenzimi i buxhetit është si vijon :</t>
  </si>
  <si>
    <t>Dinamika dhe struktura e grumbullimit të të hyrave është si vijon :</t>
  </si>
  <si>
    <t xml:space="preserve">Gjobat nga gjykatat </t>
  </si>
  <si>
    <t>Inspektimet e veterinarisë</t>
  </si>
  <si>
    <t>Të hyrat nga inspektimi higjienik - sanitar</t>
  </si>
  <si>
    <t>Gjithsej :</t>
  </si>
  <si>
    <t>Dinamika e realizimit të të hyrave tjera mund të përcjellet nga pasqyrimi i mësipërm tabelar .</t>
  </si>
  <si>
    <t xml:space="preserve"> Tatimi në pronë</t>
  </si>
  <si>
    <t xml:space="preserve"> Tatimi në tokë</t>
  </si>
  <si>
    <t xml:space="preserve"> Taksa e regjistrimit të automjeteve</t>
  </si>
  <si>
    <t xml:space="preserve"> Taksa për verif. e dokum. të ndryshme</t>
  </si>
  <si>
    <t xml:space="preserve"> Gjobat në trafik</t>
  </si>
  <si>
    <t xml:space="preserve"> Licenca të tjera në afarizëm</t>
  </si>
  <si>
    <t>18019 - INFRASTRUKTURA RRUGORE</t>
  </si>
  <si>
    <t>50212 -1</t>
  </si>
  <si>
    <t>Licenca,reklama,publik. në pronë publike</t>
  </si>
  <si>
    <t>47019  -  BUJQËSI , PYLLTARI , ZHVILLIM RURAL</t>
  </si>
  <si>
    <t xml:space="preserve"> Çertifikata për transportin e kafshëve </t>
  </si>
  <si>
    <t xml:space="preserve">     -Të hyrat vetanake</t>
  </si>
  <si>
    <t>48019 - ZHVILLIMI EKONOMIK</t>
  </si>
  <si>
    <t xml:space="preserve">    </t>
  </si>
  <si>
    <t xml:space="preserve"> Taksa tjera administrative</t>
  </si>
  <si>
    <t xml:space="preserve"> Vërtetime të ndryshme dhe leje për itenerar</t>
  </si>
  <si>
    <t xml:space="preserve"> Gjithsej :</t>
  </si>
  <si>
    <t>65095 - GJEODEZI DHE KADASTËR</t>
  </si>
  <si>
    <t>65495 - ÇËSHTJE PRONËSORO - JURIDIKE</t>
  </si>
  <si>
    <t xml:space="preserve">      -Të hyrat vetanake</t>
  </si>
  <si>
    <t>66100 - PLANIFIKIMI URBAN DHE MJEDISI</t>
  </si>
  <si>
    <t>73028 - SHËNDETËSIA - ADMINISTRATA</t>
  </si>
  <si>
    <t>74100 - SHËNDETËSIA - KUJDESI PRIMAR SHËNDETSOR</t>
  </si>
  <si>
    <t>Taksë administrative për fletëkërkesë</t>
  </si>
  <si>
    <t>Participimet nga shëndetësia</t>
  </si>
  <si>
    <t>Gjithsej:</t>
  </si>
  <si>
    <t>85019 - KULTURË , RINI , SPORT</t>
  </si>
  <si>
    <t>50008 -1</t>
  </si>
  <si>
    <t>Participim - Biblioteka</t>
  </si>
  <si>
    <t>92095 - ARSIMI - ADMINISTRATA</t>
  </si>
  <si>
    <t>92570 - ARSIMI PARASHKOLLOR - ÇERDHET</t>
  </si>
  <si>
    <t>Participimet - Qerdhet</t>
  </si>
  <si>
    <t xml:space="preserve">Donacionet - Save the Children </t>
  </si>
  <si>
    <t>93540 - ARSIMI FILLOR</t>
  </si>
  <si>
    <t>50008 - 1</t>
  </si>
  <si>
    <t xml:space="preserve">Participim </t>
  </si>
  <si>
    <t>94740 - ARSIMI I MESËM</t>
  </si>
  <si>
    <t>50008-1</t>
  </si>
  <si>
    <t>Pjesëmarrja e shkollave në krijimin e të hyrave është si vijon :</t>
  </si>
  <si>
    <t>Shkolla ekonomike " Ali Hadri "</t>
  </si>
  <si>
    <t>Shkolla teknike " Shaban Spahija "</t>
  </si>
  <si>
    <t xml:space="preserve">Gjithsej : </t>
  </si>
  <si>
    <r>
      <t xml:space="preserve">          </t>
    </r>
    <r>
      <rPr>
        <b/>
        <sz val="10"/>
        <color indexed="8"/>
        <rFont val="Arial Narrow"/>
        <family val="2"/>
      </rPr>
      <t>I.</t>
    </r>
    <r>
      <rPr>
        <sz val="10"/>
        <color indexed="8"/>
        <rFont val="Arial Narrow"/>
        <family val="2"/>
      </rPr>
      <t xml:space="preserve">    Shërbime kadastrale</t>
    </r>
  </si>
  <si>
    <r>
      <t xml:space="preserve">          </t>
    </r>
    <r>
      <rPr>
        <b/>
        <sz val="10"/>
        <color indexed="8"/>
        <rFont val="Arial Narrow"/>
        <family val="2"/>
      </rPr>
      <t>II.</t>
    </r>
    <r>
      <rPr>
        <sz val="10"/>
        <color indexed="8"/>
        <rFont val="Arial Narrow"/>
        <family val="2"/>
      </rPr>
      <t xml:space="preserve">   Çështje pronësore - juridike</t>
    </r>
  </si>
  <si>
    <t>Shërbimet kulturore</t>
  </si>
  <si>
    <t>Teatri</t>
  </si>
  <si>
    <t xml:space="preserve">Duke u bazuar në Ligjin për menaxhimin e financave publike dhe përgjegjësitë (Nr. 03/L-048)  i plotësuar dhe ndryshuar me Ligjin </t>
  </si>
  <si>
    <t xml:space="preserve">Nr.03/L-221 , Ligjin Nr.04/L-116 , Ligjin Nr.04/L-194 , Ligjin Nr.05/L-063 dhe me Ligjin Nr.05/L-007 Drejtorati për buxhet e financa është  i obliguar </t>
  </si>
  <si>
    <t xml:space="preserve">                Raporti ka për qëllim informimin sa më objektiv lidhur me ecurinë dhe me treguesit relevant rreth përmbushjes së planit  dhe grumbullimit të </t>
  </si>
  <si>
    <t>mjeteve sipas burimeve,përmbushjes së obligimeve të planifikuara sipas planprogrameve,dinamikën dhe strukturëne mjeteve të planifikuara si dhe</t>
  </si>
  <si>
    <t>Buxheti fillestar</t>
  </si>
  <si>
    <t>sipas periudhave krahasuese për drejtoritë përkatëse .</t>
  </si>
  <si>
    <t>Dinamika dhe struktura e realizimit të investimeve kapitale sipas drejtorive mund të përcjellet nga pasqyrimi tabelar ndërsa destinimi i tyre</t>
  </si>
  <si>
    <t>Furnizim me rrymë,gjenerim dhe transmision</t>
  </si>
  <si>
    <t>85184 - TEATRI</t>
  </si>
  <si>
    <t>ekonom.</t>
  </si>
  <si>
    <t>Taksa për parkim publik, kampim,rekreacion</t>
  </si>
  <si>
    <t xml:space="preserve"> krahasuese. </t>
  </si>
  <si>
    <t>gjithmbarshme  të shpenzimeve  .</t>
  </si>
  <si>
    <t xml:space="preserve">planifikimi vjetor. </t>
  </si>
  <si>
    <t xml:space="preserve">realizimin e tyre sipas kategorive të përcaktuara buxhetore,angazhimet kadrovike si dhe treguesit tjerë që kanë ndikuar në rezultatet e përgjithshme </t>
  </si>
  <si>
    <t xml:space="preserve">për këtë periudhë . </t>
  </si>
  <si>
    <t>programet në raport me planin vjetor dhe realizimin gjatë periudhës së njajtë të vitit paraprak .</t>
  </si>
  <si>
    <t xml:space="preserve">Nga tabela e mësipërme mund të përcjellet  dinamika e të punësuarve nëpër drejtori,si në raport me periudhën krahasuese poashtu edhe </t>
  </si>
  <si>
    <t>Taksa për verfikimin e dokumenteve të ndryshme</t>
  </si>
  <si>
    <t>Taksa për verifikimin e dokumenteve të ndryshme</t>
  </si>
  <si>
    <t>I. Infrastruktura rrugore</t>
  </si>
  <si>
    <t>Licencat për transport të mallrave</t>
  </si>
  <si>
    <t>Vërtetime të ndryshme dhe leje për itenerar</t>
  </si>
  <si>
    <t>Licenca për shërbim të pijeve alkoolike</t>
  </si>
  <si>
    <t>Licenca për reklama dhe publikime në prona publike</t>
  </si>
  <si>
    <t>Tatimi i ndalur në burim në të ardhura personale</t>
  </si>
  <si>
    <t xml:space="preserve">                  MALLRAT DHE SHËRBIMET</t>
  </si>
  <si>
    <t xml:space="preserve">                  Financimi i shpenzimeve për mallra dhe shërbime është bërë nga këto burime :</t>
  </si>
  <si>
    <t xml:space="preserve">                   Dinamika dhe struktura e pagesave për mallra dhe shërbime sipas kodeve ekonomike shënon ecuri të ndryshme , si në raport me</t>
  </si>
  <si>
    <t>Shpenzimet tjera të udhëtimit zyrtar brenda vendit</t>
  </si>
  <si>
    <t>Akomodimi gjatë udhëtimit zyrtar jashtë vendit</t>
  </si>
  <si>
    <t>Shërbime të ndryshme intelektuale dhe këshillëdhën.</t>
  </si>
  <si>
    <t>Furnizim me ushqim dhe pije - jo dreka zyrtare</t>
  </si>
  <si>
    <t>Mirëmbajtja e ndërtesave administrative afariste</t>
  </si>
  <si>
    <t xml:space="preserve">                   Bartës më të mëdhenj të pagesave për mallra dhe shërbime gjatë periudhës raportuese janë : </t>
  </si>
  <si>
    <t xml:space="preserve">                  Shikuar sipas drejtorive shpenzimet komunale kanë ecurinë si vijon : </t>
  </si>
  <si>
    <t xml:space="preserve">                  Nga pasqyrimi i mëposhtëm tabelar mund të përcjellet dinamika e planifikimit dhe realizimit të shpenzimeve për transfere dhe subvencione </t>
  </si>
  <si>
    <t xml:space="preserve">                  Financimi i shpenzimeve për kategorinë e investimeve kapitale është bërë nga burimet e mëposhtme :</t>
  </si>
  <si>
    <t xml:space="preserve">                  Dinamika dhe struktura e grumbullimit të të hyrave është si vijon :</t>
  </si>
  <si>
    <t>Taksa për verifikimin  e dokumenteve të ndryshme</t>
  </si>
  <si>
    <t xml:space="preserve">                  </t>
  </si>
  <si>
    <t xml:space="preserve">                  16637 - INSPEKCIONI</t>
  </si>
  <si>
    <t>Të hyrat nga inspektimi i artikujve ushqimor</t>
  </si>
  <si>
    <t xml:space="preserve">                  16795  -  PROKURIMI</t>
  </si>
  <si>
    <t xml:space="preserve">                  16919  -  ASSAMBLEJA KOMUNALE</t>
  </si>
  <si>
    <t>17519 - BUXHET E FINANCA</t>
  </si>
  <si>
    <t xml:space="preserve">                  18295  -  EMERGJENCA - ZJARRËFIKËSAT</t>
  </si>
  <si>
    <t xml:space="preserve">Taksa për ndrriminm e destinimit të tokës </t>
  </si>
  <si>
    <t xml:space="preserve"> Taksa për verifikim të dokumenteve të ndryshme</t>
  </si>
  <si>
    <t>Qiraja nga objektet publike</t>
  </si>
  <si>
    <t xml:space="preserve">                   Të hyrat e lartëcekura janë realizuar nga participimet.</t>
  </si>
  <si>
    <t>Taksa për parkim publik,kampim,rekreacion</t>
  </si>
  <si>
    <t>II . GJOBAT NGA GJYKATAT</t>
  </si>
  <si>
    <t>III . GJOBAT NË TRAFIK</t>
  </si>
  <si>
    <t>IV . DONACIONET</t>
  </si>
  <si>
    <t>`- Qeveria italiane</t>
  </si>
  <si>
    <t>`- EU - Unioni europian</t>
  </si>
  <si>
    <t>Avans për para të imëta (petty cash)</t>
  </si>
  <si>
    <t>Struktura e buxhetit aktual është si vijon :</t>
  </si>
  <si>
    <t>Antarësim - Oda e infermierëve të Kosovës</t>
  </si>
  <si>
    <t xml:space="preserve">Puntorët me kontratë ( jo në listen e pagave ) </t>
  </si>
  <si>
    <t xml:space="preserve">                  Dinamika e shpenzimeve për paga dhe meditje nëpër drejtori shënon ecuri të ndryshme , si në raport me periudhën krahasuese poashtu</t>
  </si>
  <si>
    <t>Shpenzimet tjera të udhëtimit zyrtar jashtë vendit</t>
  </si>
  <si>
    <t>Transfer nga kategoria e investimeve kapitale</t>
  </si>
  <si>
    <t>Subvencionet për entitete publike</t>
  </si>
  <si>
    <t>Subvencionet për entitete publike ( teatër, bibliotekë )</t>
  </si>
  <si>
    <t>Subvencionet për entitete jopublike</t>
  </si>
  <si>
    <t>komunale , shërbime publike.</t>
  </si>
  <si>
    <t>është si vijon :</t>
  </si>
  <si>
    <t xml:space="preserve">                   19595  -  ZYRA KOMUNALE PËR KOMUNITETE DHE KTHIM</t>
  </si>
  <si>
    <t xml:space="preserve">                   Zyra Komunale për komunitete e kthim sipas funkcionit që ka nuk krijon të hyra.</t>
  </si>
  <si>
    <t>Zyra e Kryetarit , sipas funksionit që ka , nuk bën grumbullim të të hyrave.</t>
  </si>
  <si>
    <t xml:space="preserve">planifikimi për vitin raportues .   </t>
  </si>
  <si>
    <t>Donacionet e jashtme-</t>
  </si>
  <si>
    <t>EU - Unioni europian</t>
  </si>
  <si>
    <t>Totali ( 1+2+3+4+5+6 ) :</t>
  </si>
  <si>
    <t xml:space="preserve"> për periudhën raportuese .</t>
  </si>
  <si>
    <t>Shkolla e artit " Odhise Paskali "</t>
  </si>
  <si>
    <t>Gjimnazi " Bedri Pejani "</t>
  </si>
  <si>
    <t xml:space="preserve">Dinamika dhe struktura e të hyrave të grumbulluara  mund të përcjellet nga pasqyra tabelare por vlen të ceket se të hyrat nga taksa </t>
  </si>
  <si>
    <t xml:space="preserve">gjatë periudhës raportuese . </t>
  </si>
  <si>
    <t>26</t>
  </si>
  <si>
    <t>36</t>
  </si>
  <si>
    <t>38</t>
  </si>
  <si>
    <t>39</t>
  </si>
  <si>
    <t xml:space="preserve"> II. Emergjenca - zjarrëfikësat</t>
  </si>
  <si>
    <t xml:space="preserve">            Helvetas&amp;Demos</t>
  </si>
  <si>
    <t>Gjobat nga pyjet</t>
  </si>
  <si>
    <t>Qeveria Italiane</t>
  </si>
  <si>
    <t>Sherbimet e varrimit</t>
  </si>
  <si>
    <t>Ndërtimi I rrugëve regjionale</t>
  </si>
  <si>
    <t>Taksa administrative pë fletëkërkesë</t>
  </si>
  <si>
    <t>I.</t>
  </si>
  <si>
    <t>Granti I përcaktuar I donatorëve</t>
  </si>
  <si>
    <t>6</t>
  </si>
  <si>
    <t>22</t>
  </si>
  <si>
    <t>24</t>
  </si>
  <si>
    <t>28</t>
  </si>
  <si>
    <t>29</t>
  </si>
  <si>
    <t>EU-Unioni europian</t>
  </si>
  <si>
    <t>31</t>
  </si>
  <si>
    <t>41</t>
  </si>
  <si>
    <t>Grande te jashtme</t>
  </si>
  <si>
    <t xml:space="preserve">                   Shpenzimi i buxhetit për dymbëdhjetë muaj është si vijon :</t>
  </si>
  <si>
    <t>75591 - SHËNDETËSIA - SHËRBIMET SOCIALE</t>
  </si>
  <si>
    <t>Te hyrat nga  grandet e percaktuara</t>
  </si>
  <si>
    <t>71-21</t>
  </si>
  <si>
    <t>27</t>
  </si>
  <si>
    <t>30</t>
  </si>
  <si>
    <t>36-37</t>
  </si>
  <si>
    <t>40</t>
  </si>
  <si>
    <t>42</t>
  </si>
  <si>
    <t>t'i dorrëzoj raportet dymbëdhjetmujore dhe raportin vjetor të buxhetit për vitin fiskal .</t>
  </si>
  <si>
    <t>Shpenzimi i buxhetit për dymbëdhjetë muaj është si vijon :</t>
  </si>
  <si>
    <t xml:space="preserve">                  Shpenzimi i buxhetit për dymbëdhjetë muaj është si vijon :</t>
  </si>
  <si>
    <t xml:space="preserve">                   Shpenzimi i buxhetit për dymbëdhjetë muaj është  si vijon :</t>
  </si>
  <si>
    <t xml:space="preserve"> Shpenzimi i buxhetit për dymbëdhjetë muaj është si vijon :</t>
  </si>
  <si>
    <t xml:space="preserve">                 Shpenzimi i buxhetit për dymbëdhjetë muaj është si vijon :</t>
  </si>
  <si>
    <t xml:space="preserve">                     Shpenzimi i buxhetit për dymbëdhjetë muaj është si vijon :</t>
  </si>
  <si>
    <t>`- Grante tjera te jashtme</t>
  </si>
  <si>
    <t>0</t>
  </si>
  <si>
    <t>Participimet</t>
  </si>
  <si>
    <t>Grande tjera te jashtme</t>
  </si>
  <si>
    <t>Save the Children</t>
  </si>
  <si>
    <t xml:space="preserve">    Qeveria Italiane</t>
  </si>
  <si>
    <t>Pagesat per vendime gjyqesore</t>
  </si>
  <si>
    <t>Xhipa dhe Kombus</t>
  </si>
  <si>
    <t xml:space="preserve">                             Donacionet - Save the Children </t>
  </si>
  <si>
    <t>Donacioni EU-UNIONI EUROPIAN</t>
  </si>
  <si>
    <t xml:space="preserve">         Grande tjera te jashtme - Save the children</t>
  </si>
  <si>
    <t>Donacionet e jashtme - EU - Unioni europian</t>
  </si>
  <si>
    <t xml:space="preserve">             </t>
  </si>
  <si>
    <t xml:space="preserve">            </t>
  </si>
  <si>
    <t>Grante tjera te jashtme</t>
  </si>
  <si>
    <t>Totali</t>
  </si>
  <si>
    <t>Donacionet tjera</t>
  </si>
  <si>
    <t xml:space="preserve">   61-Qeveria Zvicerane kthim I mjeteve </t>
  </si>
  <si>
    <t>UNDP</t>
  </si>
  <si>
    <t>Qeveria Kroate</t>
  </si>
  <si>
    <t>Rezervat</t>
  </si>
  <si>
    <t xml:space="preserve">Rezervat </t>
  </si>
  <si>
    <t>Paisje muzikore</t>
  </si>
  <si>
    <t>Donacionet</t>
  </si>
  <si>
    <t>Mjetet e bartura nga viti 2021</t>
  </si>
  <si>
    <t>Kultura</t>
  </si>
  <si>
    <t>Shpenzime të transportit për udhëtime zyrtare j. vendit</t>
  </si>
  <si>
    <t>Furnizim me preparete kimike</t>
  </si>
  <si>
    <t>Provizioni bankar - PCB</t>
  </si>
  <si>
    <t>Taksa për certifikata të pronësisë dhe kopje plani</t>
  </si>
  <si>
    <t>Taksa për pakim publik, kampim dhe rekreacion</t>
  </si>
  <si>
    <t>49 EU-UNIONI EUROPIAN</t>
  </si>
  <si>
    <t>Taksa për parkim publik, kampim, rekreacion</t>
  </si>
  <si>
    <t>Të hyrat e bartura nga viti 2021</t>
  </si>
  <si>
    <t xml:space="preserve">periudhës së njajtë të vitit paraprak . </t>
  </si>
  <si>
    <t>Nga shitja e mallrave nuk janë arketuar mjetet financiare .</t>
  </si>
  <si>
    <t>17</t>
  </si>
  <si>
    <t>UN-Habitat</t>
  </si>
  <si>
    <t>Qeveria Zvicerane</t>
  </si>
  <si>
    <t>I - XII - 2023</t>
  </si>
  <si>
    <t>Shërbimet kulturore (13)</t>
  </si>
  <si>
    <t>Arsim I mesem (13)</t>
  </si>
  <si>
    <t>Drejtorati për Shërbime Publike - Infrastruktura rrugore - Pejë  në shumën  23,104.81 nga kapitale</t>
  </si>
  <si>
    <t>Drejtorati për Arsim dhe shkencë - arsim fillor                                                     352.00 nga kapitale</t>
  </si>
  <si>
    <t>Shërbime publike - Infrastruktura rrugore - Pejë (30)</t>
  </si>
  <si>
    <t>Shërbimet Rezidenciale Pejë</t>
  </si>
  <si>
    <t xml:space="preserve">                                         Granti I Donatoreve të mbrendshëm</t>
  </si>
  <si>
    <t>Shërbimet Rezendenciale Pejë</t>
  </si>
  <si>
    <t>Depot</t>
  </si>
  <si>
    <t>Qiraja nga objekte publike</t>
  </si>
  <si>
    <t>Eu - Unioni Europian</t>
  </si>
  <si>
    <t>EU-Unioni europion</t>
  </si>
  <si>
    <t xml:space="preserve">Donacione </t>
  </si>
  <si>
    <t>75592 - Shërbimet Rezidenciale Pejë</t>
  </si>
  <si>
    <t>Kompensimi I demeve nga kompensimi I sigurimit</t>
  </si>
  <si>
    <t xml:space="preserve">                                Granti I Donatoreve të jashtme</t>
  </si>
  <si>
    <t>Drejtorati Bujqësi, pylltari, zhvillim rural</t>
  </si>
  <si>
    <t>Sistemi I ujitjes</t>
  </si>
  <si>
    <t>Parqet nacionale</t>
  </si>
  <si>
    <t>Komprnsimi I demeve nga kompensimi I sigurimit</t>
  </si>
  <si>
    <t xml:space="preserve">Pagesat për transfere dhe subvencione dhe plan nuk ka.            </t>
  </si>
  <si>
    <t xml:space="preserve">                  Pagesat për transfere dhe subvencione dhe plan nuk ka.</t>
  </si>
  <si>
    <t>57</t>
  </si>
  <si>
    <t>14</t>
  </si>
  <si>
    <t>5</t>
  </si>
  <si>
    <t>12</t>
  </si>
  <si>
    <t>JANAR – DHJETOR TË VITIT 2024</t>
  </si>
  <si>
    <t>PEJË , JANAR 2025</t>
  </si>
  <si>
    <t>Buxheti i realizuar komunal për periudhën janar -dhjetor  2024</t>
  </si>
  <si>
    <t>Të hyrat vetanake të realizuara gjatë periudhës janar - dhjetor 2024</t>
  </si>
  <si>
    <t>Shpenzimet e realizuara buxhetore për periudhën janar - dhjetor 2024</t>
  </si>
  <si>
    <t>BUXHETI I REALIZUAR KOMUNAL PËR PERIUDHËN JANAR - DHJETOR TË VITIT 2024</t>
  </si>
  <si>
    <t xml:space="preserve">                 Ecuria e të hyrave të arketuara dhe shpenzimeve të realizuara  gjatë periudhës JANAR-DHJETOR të vitit 2024 është e prezentuar tek të gjitha</t>
  </si>
  <si>
    <t>I - XII - 2024</t>
  </si>
  <si>
    <t>Shërbimet Sociale - Pejë</t>
  </si>
  <si>
    <t>Shërbimet Rezedenciale - Pejë</t>
  </si>
  <si>
    <t>Sipas Ligjit Nr. 07/L-001 mbi ndarjet buxhetore për Republikën e Kosovës për vitin 2024 Komuna e Pejës ka planifikuar të punësojë</t>
  </si>
  <si>
    <t>në raport me numrin e planifikuar për vitin 2024</t>
  </si>
  <si>
    <t xml:space="preserve">                  TË  HYRAT VETANAKE TË REALIZUARA GJATË PERIUDHËS JANAR - DHJETOR TË VITIT 2024</t>
  </si>
  <si>
    <t>Gjatë periudhës janar - dhjetor të vitit 2024 dinamika dhe struktura e të hyrave të realizuara vetanake shënon ecuri të ndryshme , si në</t>
  </si>
  <si>
    <t>raport me planifikimin për vitin 2024, poashtu edhe në raport me realizimin gjatë periudhës krahasuese.</t>
  </si>
  <si>
    <t>I - XII- 2023</t>
  </si>
  <si>
    <t xml:space="preserve">                  SHPENZIMET E REALIZUARA BUXHETORE GJATË PERIUDHËS JANAR-DHJETOR TË VITIT 2024</t>
  </si>
  <si>
    <t xml:space="preserve">                  Në pajtim me Ligjin Nr.07 /L- 001 për Buxhetin e Republikës së Kosovës për vitin 2024,buxheti komunal për vitin 2024 duket si vijon :</t>
  </si>
  <si>
    <t>Granti Qeveritar 32,092,009.00 € dhe</t>
  </si>
  <si>
    <t>Të hyrat vetanake 5,365,017.00 €</t>
  </si>
  <si>
    <t>Buxheti fillestar për vitin 2024 kap shumën prej 37,457,026.00 € dhe strukturën e tij e përbëjnë:</t>
  </si>
  <si>
    <r>
      <t xml:space="preserve">Drejtorati për Bujqësi, pylltari, zhvillim rural në shumën                                   42,424.29 nga subvencione 40,408.80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në kapitale 2,015.49 </t>
    </r>
    <r>
      <rPr>
        <sz val="10"/>
        <color indexed="8"/>
        <rFont val="Calibri"/>
        <family val="2"/>
      </rPr>
      <t>€</t>
    </r>
  </si>
  <si>
    <t>Përvoja e punes</t>
  </si>
  <si>
    <t>Shtesa e vecante për të zgjedhurit</t>
  </si>
  <si>
    <t>Shtesa për vëllimin e punës</t>
  </si>
  <si>
    <t>Shtesa për nëpunësin e sistemit shëndetesor</t>
  </si>
  <si>
    <t>Kujdestaria, puna gjatë natës dhe puna jastë orarit te punes</t>
  </si>
  <si>
    <t>Shtesat tranzitore</t>
  </si>
  <si>
    <t>Shërbimet e vecanta-Konsulente dhe kon.indi</t>
  </si>
  <si>
    <t>Furnizim me ushqim për kafshë</t>
  </si>
  <si>
    <t>Akomodimi për mikpritje të delegacioneve të jashtme</t>
  </si>
  <si>
    <t>Shërbime Rezedencijale - Pejë</t>
  </si>
  <si>
    <t>Shërbime Rezedenciale - Pejë</t>
  </si>
  <si>
    <t>46-99</t>
  </si>
  <si>
    <t>Transporti I nxënësave</t>
  </si>
  <si>
    <t>Transferet kapitale per entitetet jopublike</t>
  </si>
  <si>
    <t>Rikstruktuimi I potencijal fizik</t>
  </si>
  <si>
    <t>Fushat sportive</t>
  </si>
  <si>
    <t>Urat</t>
  </si>
  <si>
    <t>Parqet dhe hapësirat publike</t>
  </si>
  <si>
    <r>
      <t xml:space="preserve">Arsim parafillor (11) 2,589.72 Arsim fillor (11) 12,666.55 </t>
    </r>
    <r>
      <rPr>
        <sz val="10"/>
        <color theme="1"/>
        <rFont val="Calibri"/>
        <family val="2"/>
      </rPr>
      <t>€ (13) 5.00 €</t>
    </r>
  </si>
  <si>
    <t>Mjetet e Grantit qeveritar përbëjnë 80.75 % të buxhetit të gjithmbarshëm dhe janë në shumën 34,895,564.40 € .</t>
  </si>
  <si>
    <t>Të hyrat vetanake në shumë prej 5,365,016.99 € në buxhetin e gjithmbarshëm marrin pjesë me 12.41 % .</t>
  </si>
  <si>
    <t xml:space="preserve">        Qeveria Zvicerane</t>
  </si>
  <si>
    <t>Sindikat</t>
  </si>
  <si>
    <t xml:space="preserve">                           Sigurimi fizik I objekteve publike</t>
  </si>
  <si>
    <t>Paisjet e tjera te teknologjise informative dhe te komunikimit</t>
  </si>
  <si>
    <t>Dru dhe prodhimet e drurit për ngrohje</t>
  </si>
  <si>
    <t>Karburant për automjete, gjeneratorë dhe makineri</t>
  </si>
  <si>
    <t>Mirëmbajtja e objekteve sportive</t>
  </si>
  <si>
    <t>Mirërmbajtja rutinore</t>
  </si>
  <si>
    <t>Pagesat për tarifa vendime gjyqësore/përmbarimore</t>
  </si>
  <si>
    <t>Pagesat - gjobat ndërinstitucionjale</t>
  </si>
  <si>
    <t>Energjia elektrike</t>
  </si>
  <si>
    <t>Shërbimet e ujësjellësit dhe kanalizimit</t>
  </si>
  <si>
    <t>Telefonia fikse</t>
  </si>
  <si>
    <t>Ndertesat arsimore</t>
  </si>
  <si>
    <t>Ndertesat shëndetësore</t>
  </si>
  <si>
    <t>Monument dhe komplekset memoriale</t>
  </si>
  <si>
    <t>Rrethojat</t>
  </si>
  <si>
    <t>Rrjetet e kanalizimit</t>
  </si>
  <si>
    <t>Rrjetet e ujësjellësit</t>
  </si>
  <si>
    <t>Paisjet e gjenerimit të energjisë elek dhe ndricimi publik</t>
  </si>
  <si>
    <t>Paisje mjeksore</t>
  </si>
  <si>
    <t>Kamionët</t>
  </si>
  <si>
    <t>Tokat</t>
  </si>
  <si>
    <t>Shtretërit e lumenjve</t>
  </si>
  <si>
    <r>
      <t xml:space="preserve">Të hyrat e bartura nga viti 2024 arijne shumën 1,599,327.18 € në buxhetin e gjithmbarshëm marrin pjesë me 3.70 </t>
    </r>
    <r>
      <rPr>
        <sz val="10"/>
        <color indexed="8"/>
        <rFont val="Calibri"/>
        <family val="2"/>
      </rPr>
      <t>%</t>
    </r>
  </si>
  <si>
    <t>Donacionet ë mbremshëm , në lartësi prej 65,881.10 € ose 0.15 % nga buxheti total janë nga :</t>
  </si>
  <si>
    <t>Donacionet e jashtme, në lartësi prej 1,289,334.01 € janë nga:</t>
  </si>
  <si>
    <t xml:space="preserve">                   Në shumën e gjithmbarshme të shpenzimeve buxhetore pagat dhe meditjet marrin pjesë me 49.70 % .</t>
  </si>
  <si>
    <t xml:space="preserve">                  Shpenzimet komunale për dymbëdhjet muaj të vitit 2024 përbëjnë 2.28 %  të shpenzimeve të gjithmbarshme buxhetore . </t>
  </si>
  <si>
    <t xml:space="preserve">                  Pagesat për këtë kategori buxhetore arrijnë shumën prej 967,274.98 €. Në raport me periudhën e njajtë të vitit paraprak shpenzimet</t>
  </si>
  <si>
    <t>komunale shënojnë ritje për 6.34 % ndërsa  plani për vitin 2024 është realizuar 99.86 % .</t>
  </si>
  <si>
    <t xml:space="preserve">                  Pagesat për transfere dhe subvencione shënojnë dinamikë më të shpejtë për 16.44 % dhe arrijnë shumën 1,115,879.58 € ndërsa plani </t>
  </si>
  <si>
    <t>për vitin 2024 është realizuar 98.73 %.Në shumën e gjithmbarshme të shpenzimeve pagesat për transfere dhe subvencione marrin pjesë me 2.63 %.</t>
  </si>
  <si>
    <r>
      <t xml:space="preserve">                  Dinamikë më të ultë në raport me periudhën krahasuese shënojnë edhe pagesat për investime kapitale për 4.87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dhe të</t>
    </r>
  </si>
  <si>
    <t xml:space="preserve">                  Në shumën e gjithmbarshme të shpenzimeve pagesat nga granti qeveritar marrin pjesë me 99.39 % . </t>
  </si>
  <si>
    <r>
      <t xml:space="preserve">Nga hyrat vetanake për këtë kategori ekonomike janë shpenzu 84,700.14 </t>
    </r>
    <r>
      <rPr>
        <sz val="10"/>
        <rFont val="Calibri"/>
        <family val="2"/>
      </rPr>
      <t xml:space="preserve">€, të cilat shenojnë ulje për 33.54 % me pak se në periudhen të </t>
    </r>
  </si>
  <si>
    <r>
      <t xml:space="preserve">Nga donacione e jashtme janë shpenzuar 43,106.52 </t>
    </r>
    <r>
      <rPr>
        <sz val="10"/>
        <color indexed="8"/>
        <rFont val="Calibri"/>
        <family val="2"/>
      </rPr>
      <t xml:space="preserve">€, të cilat shenojnë ritje për 40.19 % në raport me periudhën krahasuese </t>
    </r>
  </si>
  <si>
    <t>dhe paraqesin 91.19 % nga plani për vitin 2024</t>
  </si>
  <si>
    <t>periudhën janar - dhjetor të vitit 2023 janë më të ulta për 1.14 % .</t>
  </si>
  <si>
    <t>edhe në raport me planifikimin për vitin 2024</t>
  </si>
  <si>
    <t>nga donacionet e jashtme 272,462.22 € respektivisht 5.05 %.</t>
  </si>
  <si>
    <t>periudhën krahasuese poashtu edhe në raport me planifikimin për vitin 2024</t>
  </si>
  <si>
    <t xml:space="preserve">Shikuar sipas programeve shpenzimet për mallra dhe shërbime kanë ecurinë si vijon : </t>
  </si>
  <si>
    <t>Në raport me vitin e kaluar dumbedhjetë mujorshi I ketij viti ka ecuri të ndryshme të shpenzimeve ne keto kodet ekonomike:</t>
  </si>
  <si>
    <t xml:space="preserve">                             - Drejtorati për  shëndetësi me 11.56 % dhe </t>
  </si>
  <si>
    <t>nga plani.</t>
  </si>
  <si>
    <t>Për akomodim për mikpritje të delegacioneve të jashtë është paguar 12,537.30 €, 35.52 % ma pak se në të njejten periudhen nga viti paraprak,</t>
  </si>
  <si>
    <t xml:space="preserve"> ose 250.75 % nga plani. </t>
  </si>
  <si>
    <t xml:space="preserve">Për naftë për ngrohje qendrore janë shpenzuar 174,654.16 €, 0.56 % me shumë se gjatë periudhen të njejte nga viti paraprak, ose 45.72 % </t>
  </si>
  <si>
    <t xml:space="preserve">harxhuar 22,406.80 €  ose 224.07 % nga plani. </t>
  </si>
  <si>
    <t>Për shpenzime e telofonise mobile janë paguar 26,655.19 €, për 13.36 % ma shumë se në njejtën periuhden nga viti paraprak dhe 11.06 % tejkalim nga plani.</t>
  </si>
  <si>
    <t xml:space="preserve">Për shpenzime e përfaqesimit dhe avokatures janë paguar 59,642.80 €,në krahasim me periudhen janar-dhjetor të vitit të kaluar ka rritje për 328.71 % ose 238.57 % </t>
  </si>
  <si>
    <t>Për shpenzime tjera kontraktuese janë shpenzuar 2,114,061.03 €  ose 10.14 % ma shumë se në njejten periudhen nga viti paraprak, dhe 0.65 % tejkalim nga plani.</t>
  </si>
  <si>
    <t>Për paisje tjera ka ulje për 12.53 % nga viti paraprak për njejten periudhe raportuese, janë paguar 94,859.73 €, ose 288.33 % nga plani.</t>
  </si>
  <si>
    <t xml:space="preserve">Për furnizim mjekesore janë shpenzu 175,543.19 € ma shumë për 262.02 % ose 195.05 % nga plani. Për Furnizim me veshembajtje janë </t>
  </si>
  <si>
    <t>nga plani. Drutë dhe prodhimet e drurit për ngrohje janë shpenzuar 337,104.59 €, 19.40 % me shumë se nga viti paraprak, ose 87.22 % nga plani.</t>
  </si>
  <si>
    <t>Për Derivate për automjete, gjeneratore dhe makineri janë shpenzuar 242,425.35 €, 9.67 % me pak se nga viti paraprak, ose 85.66 % nga plani.</t>
  </si>
  <si>
    <t>Për Mirembajtjen dhe riparimi I automjeteve ka rritje për 36.15 %, është paguar 80,493.50 € ose 89.44 % nga plani për vitin 2024</t>
  </si>
  <si>
    <t>dhe është për 94.92 % ma shumë në njejten periudhen nga viti paraprak, plani është realizuar 103.18 %.</t>
  </si>
  <si>
    <t>Për shpenzimet e përfaqësimit - drekat zyrtare janë shpenzuar 64,939.83 € ose 91.72 % nga plani për vitin 2024.</t>
  </si>
  <si>
    <r>
      <t xml:space="preserve">Nga shpezimet - Vendimet e gjukatave janë egzekutuar 466,826.99 € për vitin 2024 ose 79.46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me shumë se ne vitin 2023 nga kjo kategori ekonomike.</t>
    </r>
  </si>
  <si>
    <t xml:space="preserve">Buxh. e fin. 911,955.63 €  (11) 897.00€, (13) 226.80€, (30) 910,831.83€dhe </t>
  </si>
  <si>
    <t>Arsim (13) 244.62 €</t>
  </si>
  <si>
    <r>
      <t xml:space="preserve">Buxhet e Financa 403.89 </t>
    </r>
    <r>
      <rPr>
        <sz val="10"/>
        <color theme="1"/>
        <rFont val="Calibri"/>
        <family val="2"/>
      </rPr>
      <t>€ (13) 42.69 € (30) 361.20 €</t>
    </r>
    <r>
      <rPr>
        <sz val="10"/>
        <color theme="1"/>
        <rFont val="Arial Narrow"/>
        <family val="2"/>
      </rPr>
      <t xml:space="preserve">, si dhe </t>
    </r>
  </si>
  <si>
    <t>Arsimit Fillor (30) 17.00 €</t>
  </si>
  <si>
    <r>
      <t xml:space="preserve">kapitale arrijnë shumën prej 13,881,847.13 € .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Arial Narrow"/>
        <family val="2"/>
      </rPr>
      <t xml:space="preserve">   </t>
    </r>
  </si>
  <si>
    <t xml:space="preserve">                  Gjatë periudhës janar - dhjetor të vitit 2024, shpenzimet komunale kanë arritur shumën prej 967,274.98 € dhe janë për 6.34 % më të </t>
  </si>
  <si>
    <t>larta në krahasim me periudhën  të vitit paraprak , ndërsa plani vjetor është realizuar 99.86 % .</t>
  </si>
  <si>
    <t xml:space="preserve">Në raport me periudhën krahasuese , dinamika e pagesave nga granti qeveritar është më e shpejtë për 1.25 % dhe </t>
  </si>
  <si>
    <t>nga të hyrat vetenake ma e shpejte për 658.95 %.</t>
  </si>
  <si>
    <t xml:space="preserve">                  Burim i financimit të shpenzimeve për këtë kategori buxhetore janë mjetet e grantit qeveritar, të hyrat vetenake dhe mjetet e bartura.</t>
  </si>
  <si>
    <t>(në euro)</t>
  </si>
  <si>
    <t xml:space="preserve">Nga të hyrat vetanake janë shpenzuar 29,956.38 € dhe paraqet realizimin e planit për 99.85 %. Prej mjetet e bartura janë </t>
  </si>
  <si>
    <t>shpenzuar 20,411.94 € ose 96.95 %.</t>
  </si>
  <si>
    <t xml:space="preserve">                  Shpenzimet e rrymës për periudhën raportuese kapin shumën prej 775,547.18 € dhe në krahasim me periudhën e njajtë të vitit paraprak</t>
  </si>
  <si>
    <t xml:space="preserve"> janë më të larta për 12.59 %. Pagesat për këtë destinim paraqesin 80.18 % të pagesave të gjithmbarshme për këtë kategori buxhetore . Pasojnë </t>
  </si>
  <si>
    <r>
      <t xml:space="preserve"> pagesat për ujin me 8.47 % , shpenzimet  e mbeturinave me 6.21 %, pagesa - vendime gjyqësore me 2.81 cilat kapin shumen 27,181.39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</t>
    </r>
  </si>
  <si>
    <t>dhe shpenzimet telefonike me 2.33 % .</t>
  </si>
  <si>
    <t xml:space="preserve"> - Drejtorati për punë komunale , shërbime publike me 44.92% ,     </t>
  </si>
  <si>
    <t xml:space="preserve">                  Për dymbëdhjetë muaj të vitit 2024 në emër të transfereve dhe subvencioneve janë paguar 1,115,879.58 €, që është realizim i planit vjetor 98.73% </t>
  </si>
  <si>
    <t>Dinamika e tyre është për 16.44 % më te larte në raport me periudhën krahasuese dhe janë realizuar nga hyrat vetanake.</t>
  </si>
  <si>
    <t>Nga donatoret e brendshem janë shpenzuar 40,408.80 €.</t>
  </si>
  <si>
    <t xml:space="preserve">                  Subvencionet për entitete jopublike shënojnë ritje për 18.90 % në krahasim me vitin 2023 dhe arrijnë shumën prej 680,150.83 € , duke</t>
  </si>
  <si>
    <t>shënuar realizim të planit 144.71 % .</t>
  </si>
  <si>
    <t xml:space="preserve">                  Pagesat për përfitues individual shënojnë realizim të planit 89.79 % dhe në fund të periudhës raportuese arrijnë shumën 323,249.20 €.</t>
  </si>
  <si>
    <t xml:space="preserve">                  Në raport me periudhën krahasuese dinamika e tyre shënon ulje për 14.77 % .</t>
  </si>
  <si>
    <r>
      <t xml:space="preserve">Nga transferet kapitale për entitetet  jopublike janë shpenzuar 14,270.00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paraqet realizimit e planit për 12.97 </t>
    </r>
    <r>
      <rPr>
        <sz val="10"/>
        <color indexed="8"/>
        <rFont val="Calibri"/>
        <family val="2"/>
      </rPr>
      <t>%</t>
    </r>
  </si>
  <si>
    <t>Nga Zyra e Kryetarit  janë paguar 25.70 % të shpenzimeve për këtë kategori buxhetore ose 286,741.70 € . Pason drejtorati për Kulture, rini dhe sport</t>
  </si>
  <si>
    <t xml:space="preserve"> me 27.77, ose 309,941.13 € , Teatri me 3.56 % ose 39,645.82 €, Bujqesi me 21.53 % ose 240,222.18 %, Zhvillim ekonomik me 8.92 % ose 99,492.14 €,</t>
  </si>
  <si>
    <r>
      <t xml:space="preserve">Sherbimet socijale me 7.15 </t>
    </r>
    <r>
      <rPr>
        <sz val="10"/>
        <rFont val="Calibri"/>
        <family val="2"/>
      </rPr>
      <t>%</t>
    </r>
    <r>
      <rPr>
        <sz val="10"/>
        <rFont val="Arial Narrow"/>
        <family val="2"/>
      </rPr>
      <t xml:space="preserve"> ose 79,836.61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dhe Shëndetesia me 5.38 % ose 60,000.00 €.</t>
    </r>
  </si>
  <si>
    <t>20</t>
  </si>
  <si>
    <t>56</t>
  </si>
  <si>
    <t>13</t>
  </si>
  <si>
    <t>8</t>
  </si>
  <si>
    <t>18</t>
  </si>
  <si>
    <t>4</t>
  </si>
  <si>
    <t>11</t>
  </si>
  <si>
    <t>334</t>
  </si>
  <si>
    <t xml:space="preserve"> 2211 puntorë . Ky plan gjatë periudhës janar - dhjetor të vitit raportues është realizuar 99.82 % , ndërsa dinamika e të punësuarve në raport me</t>
  </si>
  <si>
    <t xml:space="preserve"> periudhën krahasuese është më I ultë për 0.14 % . Në fund të periudhës raportuese numri i të punësuarve është 2207</t>
  </si>
  <si>
    <t>Licencat për marka tregtare dhe patentim</t>
  </si>
  <si>
    <t xml:space="preserve">                  Komuna e Pejës sipas planit për vitin fiskal 2024 ka planifikuar të hyra vetanake në shumë prej 5,365,017.00 € .  </t>
  </si>
  <si>
    <t xml:space="preserve">Gjatë periudhës raportuese janë realizuar donacionet ë jashtme në shumë 1,166,824.92 €,të cilat në të hyra të gjithmbarshme marrin pjesë me 16.14 %. </t>
  </si>
  <si>
    <r>
      <t xml:space="preserve">Donacionet e realizuara gjatë periudhës raportuese janë në Drejtorat Zvillim ekonomik me shumen 219,530.29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nga EU-Unioni Europian,</t>
    </r>
  </si>
  <si>
    <r>
      <t xml:space="preserve">në Buxhet dhe Financa nga Qeveria zvicerane me 910,088.50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si dhe në Arsim fillor 12,128.13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nga Save dhe Children,</t>
    </r>
  </si>
  <si>
    <t xml:space="preserve"> dhe 25,078.00 nga Eu Unioni Europian në shkoll e mesme teknike Sh. Spahija.</t>
  </si>
  <si>
    <t>Në raport me periudhën krahasuese donacionet e realizuara janë më të larta për 258.44 % .</t>
  </si>
  <si>
    <r>
      <t xml:space="preserve">                  Gjatë periudhës raportuese janë realizuar donacione të brendshme në drejtorat e Bujqësi me shumen prej 40,408.81 </t>
    </r>
    <r>
      <rPr>
        <sz val="10"/>
        <rFont val="Calibri"/>
        <family val="2"/>
      </rPr>
      <t>€</t>
    </r>
  </si>
  <si>
    <t xml:space="preserve">komunale për leje të ndërtimit , në shumë prej 1,199,880.62 € paraqesin 23.08 % të shumës së gjithmbarshme të të hyrave vetanake të grumbulluara </t>
  </si>
  <si>
    <t xml:space="preserve">  me 5.50 % respektivisht 285,967.00 €, të hyrat nga licenca për reklama dhe publikime në prona publike me 1.75 %  ose 90,801.46 € , etj.</t>
  </si>
  <si>
    <t xml:space="preserve">Donacaionet e jashtme - </t>
  </si>
  <si>
    <t>Eu-Unioni Europian</t>
  </si>
  <si>
    <t xml:space="preserve">                  Gjatë periudhës janar - dhjetor të vitit 2024 janë shpenzuar për investime kapitale 13,881,847.13 € , që është për 4.87 % më pak se gjatë</t>
  </si>
  <si>
    <t xml:space="preserve"> periudhës së njajtë të vitit 2023, ndërsa plani për vitin 2024 është realizuar 95.51 % .</t>
  </si>
  <si>
    <t xml:space="preserve">      Shikuar sipas drejtorive ecuria e shpenzimeve për projekte kapitale është si vijon :</t>
  </si>
  <si>
    <t>Shpenzimet për projekte kapitale të drejtorive të lartëcekura paraqesin 67.42 % të shpenzimit të gjithmbarshëm për këtë  kategori buxhetore.</t>
  </si>
  <si>
    <t xml:space="preserve">Për kompjutera janë shpenzuar 45,505.04 €, plani është realizuar 91.01 %. Për paisje specijale mjekesore janë shpenzuar 63,775.00 € </t>
  </si>
  <si>
    <t xml:space="preserve"> njejten periudhen nga viti paraprak.</t>
  </si>
  <si>
    <t>77.94 % dhe permban 39.20 % shpenzimeve gjithmbarshme.</t>
  </si>
  <si>
    <t>ose 142,750.60 € dhe paraqet tejkalimin e planit për 42.75 %.</t>
  </si>
  <si>
    <t>Shpenzimi i buxhetit për dymbëdhjetë  muaj të vitit 2024 është si vijon :</t>
  </si>
  <si>
    <t>Shpenzimet e gjithmbarshme për dymbëdhjetë muaj të vitit 2024 kapin shumën prej 531,260.92 € dhe janë për 9.12 % më të larta se gjatë</t>
  </si>
  <si>
    <t xml:space="preserve"> periudhës së njajtë të vitit paraprak,ndërsa plani për vitin 2024 është realizuar 99.34 %.</t>
  </si>
  <si>
    <t xml:space="preserve">                   Pagat dhe meditjet për periudhën raportuese kapin shumën prej 197,148.008 € . Në krahasim me periudhën janar - dhjetor të vitit 2023</t>
  </si>
  <si>
    <t xml:space="preserve">pagesat për këtë kategori buxhetore shënojnë dinamikë më të shpejte për 33.20 % , ndërsa plani për vitin 2024 është realizuar 100 % .  </t>
  </si>
  <si>
    <t xml:space="preserve">                   Në shumën e gjithmbarshme të shpenzimeve buxhetore pagat dhe meditjet marrin pjesë me 37.11 % .</t>
  </si>
  <si>
    <t xml:space="preserve">                   Në emër të mallrave dhe shërbimeve janë shpenzuar 47,371.22 € ose 8.92 % të shpenzimeve të gjithmbarshme.</t>
  </si>
  <si>
    <t xml:space="preserve">                   Në raport me periudhën krahasuese pagesat për mallra dhe shërbime shënojnë dinamikë më të shpejtë për 7.87 % dhe paraqesin</t>
  </si>
  <si>
    <t>99.73 % nga planifikimi vjetor.</t>
  </si>
  <si>
    <t xml:space="preserve">Në emër të transfere dhe subvencione janë shpenzuar 286,741.70 €. Në raport me periudhën krahasuese pagesat për këtë </t>
  </si>
  <si>
    <t>kategori shënojnë dinamike më të ngadalshme për 2.78 % dhe paraqesin 98.83 % nga planifikimi vjetor.</t>
  </si>
  <si>
    <t>Në shumën e gjithmbarshme të shpenzimeve buxhetore pagesat për transfere dhe subvencione marrin pjesë me 53.97 % .</t>
  </si>
  <si>
    <t xml:space="preserve">Gjatë periudhës janar - dhjetor të vitit 2024 Drejtorati i Administratës ka grumbulluar të hyra vetanake në shumë prej 145,055.65 € </t>
  </si>
  <si>
    <t>respektivisht 80.59 % nga planifikimi vjetor .</t>
  </si>
  <si>
    <t xml:space="preserve">                  Në raport me periudhën e njajtë të vitit paraprak dinamika e grumbullimit të të hyrave është më e ngadalshme për 12.09 % . </t>
  </si>
  <si>
    <r>
      <t xml:space="preserve">Nga taksat për çertifikata tjera të ofiqarisë janë inkasuar 70.87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të të hyrave, dhe të njajtat shënojnë ulje për  15.16 % në raport me </t>
    </r>
  </si>
  <si>
    <t>periudhën krahasuese . Në fund të periudhës raportuese ky lloj i të hyrave arrinë shumën 102,803.00 € . Pasojnë taksat për çertifikata të lindjes me</t>
  </si>
  <si>
    <t xml:space="preserve">10.12 %  ose 14,674.00 € , taksat për çertifikata të kurorëzimit me 5.85 % ose 8,491.00 €, taksat për verifikimin e dokumenteve të ndryshme me 3.79 %  ose </t>
  </si>
  <si>
    <t xml:space="preserve">5,502.00 € , taksat për fotokopjim të dokumenteve me 3.56 % ose 5,162.50 € , etj . </t>
  </si>
  <si>
    <t xml:space="preserve">                  Pagat dhe meditjet për periudhën raportuese kapin shumën prej 383,174.21€ . Në raport me periudhën krahasuese pagesat për këtë </t>
  </si>
  <si>
    <t>kategori buxhetore shënojnë dinamikë më të larte për 13.17 % , ndërsa plani vjetor është realizuar 100.00 % .</t>
  </si>
  <si>
    <t xml:space="preserve">                  Gjatë periudhës janar - dhjetor të vitit 2024 janë paguar për shpenzime komunale 122,453.56 € dhe paraqesin realizim të planit vjetor</t>
  </si>
  <si>
    <t xml:space="preserve">                  Shpenzimet komunale janë për 5.75 % më të larta në raport me periudhën krahasuese .</t>
  </si>
  <si>
    <t>Në emer Investimeve kapitale janë shpenzuar 310,060.04 € dhe paraqesin realizimin planit vjetor për 95.40 %</t>
  </si>
  <si>
    <r>
      <t xml:space="preserve">Në raport me periudhën krahasuese pagesat për Investime kapitale shënojnë dinamike më të lartë për 55.68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</si>
  <si>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t xml:space="preserve">Shpenzimet e gjithmbarshme buxhetore për dymbëdhjetë muaj të vitit 2024 kapin shumën prej 9,990.44 € gjegjësisht 290.14 % më shum se gjatë </t>
  </si>
  <si>
    <t>periudhës krahasuese dhe paraqesin 100.00 % nga plani për vitin 2024</t>
  </si>
  <si>
    <t>Pagat dhe meditjet në fund të periudhës raportuese arrijnë shumën prej 3,490.76 €.</t>
  </si>
  <si>
    <t xml:space="preserve">                  Për mallra dhe shërbime janë shpenzuar 6,499.68 € ose 65.06 % të shpenzimeve të gjithmbarshme . Dinamika e tyre është për 153.82 % </t>
  </si>
  <si>
    <r>
      <t xml:space="preserve">më e shpejtë në raport me periudhën krahasuese, ndersa plani është realizuar 100.00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</si>
  <si>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t xml:space="preserve">Shpenzimet e gjithmbarshme buxhetore për dymbëdhjetë muaj të vitit 2024 kapin shumën prej 15,078.70 €. Pagat dhe meditjet në fund të periudhës </t>
  </si>
  <si>
    <t>raportuese arrijnë shumën prej 12.539.70€ dhe janë për 61.48 % ma të larta se në njejten periudhen nga viti paraprak. Plani është realizuar 100.00 %</t>
  </si>
  <si>
    <t xml:space="preserve"> e planit për 90.68 %</t>
  </si>
  <si>
    <t>Për mallra dhe shërbime janë shpenzuar 2,539.00 €, për 22.78 ma pak se në njejten periudhen nga viti paraprak dhe paraqet realizimin</t>
  </si>
  <si>
    <t xml:space="preserve">Gjatë periudhës janar - dhjetor të vitit 2024 Drejtorati i Inspekcionit ka grumbulluar të hyra vetanake në shumë prej 34,101.70 € </t>
  </si>
  <si>
    <t xml:space="preserve">gjegjësisht  40.22 % më shumë se në të njejtën periudhe të vitit parapark, ndërsa plani për vitin raportues është  realizuar 81.19 % . </t>
  </si>
  <si>
    <t xml:space="preserve">                  Pjesa më e madhe e të hyrave , respektivisht 62.27 % është realizuar nga Licencat për pranim teknik të lokalit  të cilat kapin </t>
  </si>
  <si>
    <t xml:space="preserve">shumën prej 21,235.00 € dhe në raport me periudhën krahasuese shënojnë ritje për 138.60 %. Pasojnë të hyrat nga gjobat nga inspektorati (denimet mandatore) </t>
  </si>
  <si>
    <t>me 12,866.70 €, respektivisht 37.73 %, të cilat janë për 16.18 % më të ulta në raport me periudhën krahasuese .</t>
  </si>
  <si>
    <t xml:space="preserve">Shpenzimet e gjithmbarshme buxhetore për dymbëdhjetë muaj të vitit 2024 kapin shumën prej 297,011.84 € gjegjësisht 9.62 % më shumë se </t>
  </si>
  <si>
    <t>gjatë periudhës së njajtë të vitit paraprak ndërsa plani për vitin 2024 është realizuar 100.00 % .</t>
  </si>
  <si>
    <t xml:space="preserve">                  Pagat dhe meditjet për periudhën raportuese kapin shumën prej 223,515.85 €. Në raport me periudhën janar - dhjetor të vitit 2023 pagesat </t>
  </si>
  <si>
    <t xml:space="preserve">për këtë kategori buxhetore janë më të larta për 6.72 % ndërsa plani për vitin 2024 është realizuar 100.00 % . </t>
  </si>
  <si>
    <t xml:space="preserve">                  Në shumën e gjithmbarshme të shpenzimeve buxhetore pagat dhe meditjet marrin pjesë me  75.25 % .</t>
  </si>
  <si>
    <t xml:space="preserve">                  Në emër të mallrave dhe shërbimeve janë shpenzuar 73,495.99 € ose 24.75 % nga shpenzimet e gjithmbarshme.Në raport me periudhën</t>
  </si>
  <si>
    <t xml:space="preserve"> krahasuese pagesat për mallra dhe shërbime shënojnë dinamikë më të latë 19.49 % dhe paraqesin 99.99 % nga plani vjetor.</t>
  </si>
  <si>
    <t>Shpenzimet e gjithmbarshme buxhetore për dymbëdhjetë muaj të vitit 2024 kapin shumën prej 29,829.44 €  gjegjësisht 23.13 % më shumë se gjatë</t>
  </si>
  <si>
    <t>periudhës së njajtë të vitit paraprak ndërsa ,plani për vitin 2024 është realizuar  99.90 % .</t>
  </si>
  <si>
    <t xml:space="preserve">                  Pagat dhe meditjet për periudhën raportuese kapin shumën prej 28,859.44 € . Në krahasim me periudhën janar - dhjetor të vitit 2023</t>
  </si>
  <si>
    <t>pagesat për këtë kategori buxhetore shënojnë dinamikë më të lartë për 21.56 % ndërsa plani për vitin 2024 është realizuar 100.00 %.</t>
  </si>
  <si>
    <t xml:space="preserve">                 Në shumën e gjithmbarshme të shpenzimeve buxhetore pagat dhe meditjet marrin pjesë me  96.75 % .</t>
  </si>
  <si>
    <t xml:space="preserve">                 Në emër të mallrave dhe shërbimeve janë shpenzuar 970.00 € ose 3.25 % nga shpenzimet e gjithmbarshme . Në raport  me periudhën</t>
  </si>
  <si>
    <t xml:space="preserve">krahasuese dinamika e tyre është më e shpejtë për 99.34 % dhe paraqesin 97.00 % nga planifikim vjetor.                                                            </t>
  </si>
  <si>
    <t>Gjatë periudhës janar - dhjetor të vitit 2024 shpenzimet e gjithmbarshme buxhetore kapin shumën prej  286,866.61 € respektivisht 4.88 %</t>
  </si>
  <si>
    <t>më shumë se gjatë periudhës krahasuese , ndërsa plani për vitin 2024 është realizuar 99.81 % .</t>
  </si>
  <si>
    <t xml:space="preserve">                  Pagat dhe meditjet në periudhën raportuese kapin shumën prej 233,408.61 € . Në krahasim me periudhën janar - dhjetor të vitit 2023</t>
  </si>
  <si>
    <t>pagesat për këtë kategori buxhetore shënojnë dinamikë më të ultë për 8.46 % , ndërsa plani për vitin 2024 është realizuar 100.00 % .</t>
  </si>
  <si>
    <t xml:space="preserve">                  Në shumën e gjithmbarshme të shpenzimeve buxhetore pagat dhe meditjet marrin pjesë me 81.36 % .</t>
  </si>
  <si>
    <t xml:space="preserve">                  Në emër të mallrave dhe shërbimeve janë shpenzuar 53,458.00 € ose 18.64 % të shpenzimeve të gjithmbarshme . </t>
  </si>
  <si>
    <t xml:space="preserve">                  Pagesat për këtë kategori buxhetore shënojnë realizim të planit 99.00 % dhe në raport me periudhën e njajtë të vitit paraprak janë më të </t>
  </si>
  <si>
    <t>larta për 188.35 % .</t>
  </si>
  <si>
    <t>Gjatë periudhës janar-dhjetor të vitit 2024 Drejtorati për buxhet dhe financa ka grumbulluar të hyra vetanake në shumë 2,499,550.47 €</t>
  </si>
  <si>
    <t xml:space="preserve">respektivisht 71.51  % nga planifikimi vjetor . </t>
  </si>
  <si>
    <t xml:space="preserve">                   Në raport me periudhën e njajtë të vitit paraprak dinamika e grumbullimit të të hyrave është më e ultë për 17.32 % . </t>
  </si>
  <si>
    <t xml:space="preserve">                   Nga tatimi në pronë janë grumbulluar 88.56 % të të hyrave vetanake pranë këtij drejtorati.</t>
  </si>
  <si>
    <t xml:space="preserve">                  Taksat për regjistrim të automjeteve me 11.44 % ose 285,967.00 € .</t>
  </si>
  <si>
    <t>Gjatë periudhës janar - dhjetortë vitit 2024 Drejtorati për buxhet e financa ka shpenzuar gjithsej 88.67 % të buxhetit të planifikuar .</t>
  </si>
  <si>
    <t>Shpenzimet e gjithmbarshme buxhetore për dymbëdhjetë muaj të vitit 2024 kapin shumën prej 1,286,807.78 € ose 18.24 % më shumë se gjatë</t>
  </si>
  <si>
    <t xml:space="preserve">                  Pagat dhe meditjet për periudhën raportuese kapin shumën prej  237,211.20 € . Në raport me periudhën janar - dhjetor të vitit 2023 pagat </t>
  </si>
  <si>
    <r>
      <t xml:space="preserve">dhe meditjet shënojnë dinamikë më të larte për 1.03 % ndërsa plani vjetor është realizuar 99.62 </t>
    </r>
    <r>
      <rPr>
        <sz val="10"/>
        <color indexed="8"/>
        <rFont val="Calibri"/>
        <family val="2"/>
      </rPr>
      <t>%</t>
    </r>
  </si>
  <si>
    <t xml:space="preserve">                  Në shumën e gjithmbarshme të shpenzimeve buxhetore pagat dhe meditjet marrin pjesë me 18.43 %.</t>
  </si>
  <si>
    <t xml:space="preserve">                  Në emër të mallrave dhe shërbimeve janë shpenzuar 50,973.08 € ose 3.96 % të shpenzimeve të gjithmbarshme.</t>
  </si>
  <si>
    <t xml:space="preserve">                  Në  raport me periudhën krahasuese pagesat për mallra dhe shërbime shënojnë dinamikë më të ngadalshme për 5.80 % dhe paraqesin</t>
  </si>
  <si>
    <t>98.21 % nga planifikimi vjetor .</t>
  </si>
  <si>
    <t xml:space="preserve">Pagesat për investime kapitale arrijnë shumën 998,623.50 € dhe paraqesin 77.60 % të shpenzimeve të gjithmbarshme buxhetore dhe më periudhën </t>
  </si>
  <si>
    <r>
      <t xml:space="preserve"> krahasuese janë më të larta për 24.92 </t>
    </r>
    <r>
      <rPr>
        <sz val="10"/>
        <color indexed="8"/>
        <rFont val="Calibri"/>
        <family val="2"/>
      </rPr>
      <t>%.</t>
    </r>
  </si>
  <si>
    <t xml:space="preserve">Gjatë periudhës janar-dhjetor të vitit 2024 Drejtorati për infrastrukturë rrugore ka grumbulluar të hyra vetanake në shumë prej 63,581.21 € </t>
  </si>
  <si>
    <t>Në raport me periudhën krahasuese dinamika e tyre është më e ngadalshme për 34.77 % .</t>
  </si>
  <si>
    <t xml:space="preserve">                   Nga taksat për parkim publik , kampim dhe rekreacion gjatë periudhës raportuese janë grumbulluar 37.99 % të të hyrave vetanake , të</t>
  </si>
  <si>
    <r>
      <t xml:space="preserve">cilat në fund të periudhës raportuese arrijnë shumën prej 24,155.00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>.</t>
    </r>
  </si>
  <si>
    <t xml:space="preserve">                   Dinamika e tyre  është për 81.75 % më e shpejtë në raport me periudhën krahasuese . </t>
  </si>
  <si>
    <t xml:space="preserve">                   Nga licencat , reklamat dhe publikimet në pronë publike janë grumbulluar 39,426.21 € , gjegjësisht  62.01 %  të të hyrave vetanake . Në</t>
  </si>
  <si>
    <t>raport me periudhën krahasuese dinamika e tyre është më e ngadalshme për 53.17 % .</t>
  </si>
  <si>
    <t xml:space="preserve">                  Pagat dhe meditjet për periudhën raportuese kapin shumën prej 124,151.12 € . Në raport me periudhën janar - dhjetor të vitit paraprak </t>
  </si>
  <si>
    <t>pagesat për këtë kategori buxhetore janë më të larta për 38.74 % , ndërsa plani për vitin 2024 është realizuar 100.00 % .</t>
  </si>
  <si>
    <t xml:space="preserve">                  Në shumën e gjithmbarshme të shpenzimeve buxhetore pagat dhe meditjet marrin pjesë me 1.43 % .</t>
  </si>
  <si>
    <t>periudhën krahasuese pagesat për mallra dhe shërbime shënojnë dinamikë më të larta për 2.03 % .</t>
  </si>
  <si>
    <t xml:space="preserve">                 Gjatë periudhës janar - dhjetor të vitit 2024 janë paguar për shpenzime komunale 400,365.49 € ose 19.31 % më shumë se gjatë periudhës</t>
  </si>
  <si>
    <t xml:space="preserve">Gjatë periudhës janar - dhjetor ë vitit 2024 Emergjenca - Zjarrëfikësat nuk kanë grumbulluar të hyra vetanake. </t>
  </si>
  <si>
    <t>Shpenzimet e gjithmbarshme buxhetore për periudhën raportuese kapin shumën prej 526,080.45 € .</t>
  </si>
  <si>
    <t xml:space="preserve">                   Në raport me periudhën krahasuese dinamika e tyre është më e shpejtë për 18.27 % dhe plani për vitin 2024 është realizuar 98.96 % . </t>
  </si>
  <si>
    <t xml:space="preserve">                   Pagat dhe meditjet për periudhën raportuese kapin shumën prej 350,599.08 €. Në raport me periudhën janar - dhjetor të vitit 2023</t>
  </si>
  <si>
    <t>pagesat për këtë kategori buxhetore shënojnë dinamikë më të shpejtë për 4.87 %, ndërsa plani për vitin 2024 është realizuar 100.00 % .</t>
  </si>
  <si>
    <t xml:space="preserve">                    Në shumën e gjithmbarshme të shpenzimeve buxhetore pagat dhe meditjet marrin pjesë me 66.64% .</t>
  </si>
  <si>
    <t xml:space="preserve">                    Në emër të mallrave dhe shërbimeve janë shpenzuar 46,291.02 € ose 8.80 % të shpenzimeve të  gjithmbarshme.</t>
  </si>
  <si>
    <t xml:space="preserve">                    Në  raport me periudhën e njajtë të vitit 2023 pagesat për mallra dhe shërbime janë më të larta për 1.75 % dhe paraqesin realizim të  </t>
  </si>
  <si>
    <t xml:space="preserve"> plani 99.55 % .</t>
  </si>
  <si>
    <t xml:space="preserve">                   Gjatë periudhës janar - dhjetor të vitit 2024 janë paguar për shpenzime komunale 34,135.35 € , ndërsa  plani vjetor është realizuar </t>
  </si>
  <si>
    <t>98.94 %. Në shumën e gjithmbarshme të shpenzimeve buxhetore , pagesat për shpenzime komunale marrin pjesë me 6.49 %.</t>
  </si>
  <si>
    <t xml:space="preserve">                   Për vitin 2024 është bërë plani \për investime kapitale në vlere 100,000.00 € dhe janë shpenzu 95,055.00 € ose 95.06 % nga plani.               </t>
  </si>
  <si>
    <t>Shpenzimet e gjithmbarshme buxhetore për dymbëdhjetë muaj të vitit 2024 kapin shumën prej 470,463.20 € gjegjësisht  73.95 % më shumë se</t>
  </si>
  <si>
    <t xml:space="preserve">gjatë periudhës së njajtë të vitit paraprak, ndërsa plani për vitin 2024 është realizuar 99.84 % . </t>
  </si>
  <si>
    <t xml:space="preserve">                  Pagat dhe meditjet për periudhën raportuese kapin shumën prej 47,732.37 € . Në krahasim me periudhën janar- dhjetor të vitit 2023</t>
  </si>
  <si>
    <t>pagesat për këtë kategori buxhetore shënojnë dinamikë më të ngadalshme për 22.39 % , ndërsa plani për vitin 2024 është realizuar 100.00 % .</t>
  </si>
  <si>
    <t xml:space="preserve">                  Në shumën e gjithmbarshme të shpenzimeve buxhetore pagat dhe meditjet marrin pjesë me 10.15 % .</t>
  </si>
  <si>
    <t xml:space="preserve">                  Mallrat dhe shërbimet  kapin shumën prej 13,338.90 €. Në raport me periudhën janar -dhjetor të vitit 2023 pagesat për këtë kategori </t>
  </si>
  <si>
    <t>buxhetore shënojnë dinamikë më të shpejtë për 48.94 % , ndërsa plani për vitin 2024 është realizuar 98.81 %.</t>
  </si>
  <si>
    <t xml:space="preserve">                   Në shumën e gjithmbarshme të shpenzimeve buxhetore pagesat për mallra dhe shërbime marrin pjesë me 2.84 % .</t>
  </si>
  <si>
    <r>
      <t xml:space="preserve">Investimet kapitale kapin shumën prej 409,391.93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paraqesin realizimin të planit për 99.85</t>
    </r>
    <r>
      <rPr>
        <sz val="10"/>
        <color indexed="8"/>
        <rFont val="Calibri"/>
        <family val="2"/>
      </rPr>
      <t>%</t>
    </r>
  </si>
  <si>
    <r>
      <t xml:space="preserve">Në raport me periudhën janar -dhjetor të vitit 2023 pagesat për këtë kategori buxhetore shënojnë dinamike më të shpejtë për 104.70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</si>
  <si>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t xml:space="preserve">Gjatë periudhës janar - dhjetor vitit 2024 Drejtorati për  Bujqësi , pylltari dhe zhvillim rural ka grumbulluar të hyra vetanake në shumë </t>
  </si>
  <si>
    <t xml:space="preserve"> prej 21,079.70 € dhe paraqesin realizim të planit 177.18 %.</t>
  </si>
  <si>
    <t xml:space="preserve">                  Nga taksa për ndrrimin e destinimit të tokës janë grumbulluar 89.75 % të të hyrave gjatë periudhës raportuese dhe paraqesin realizim të</t>
  </si>
  <si>
    <t>planit të planit 174.92 %, ndërsa në fund të periudhës raportuese arrijnë shumën prej 18,919.70 €.</t>
  </si>
  <si>
    <t xml:space="preserve">Të hyrat nga shfrytëzimi i pronës publike kapin shumën prej 2,160.00 € . Në shumën e gjithmbarshme të të hyrave , të hyrat nga shfrytëzimi i pronës </t>
  </si>
  <si>
    <t xml:space="preserve">  publike marrin pjesë me 10.25 % .</t>
  </si>
  <si>
    <r>
      <t xml:space="preserve">ulje për 44.81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</t>
    </r>
  </si>
  <si>
    <r>
      <t xml:space="preserve">Participim I qytetarëve për këtë periudhem raportuese arrijnë shumen 40,408.81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me krahasim me njejten periudhen nga viti paraprak shenon </t>
    </r>
  </si>
  <si>
    <t xml:space="preserve">                 Pagat dhe meditjet për periudhën raportuese kapin shumën prej 148,724.05 €. Në krahasim me periudhën e njajtë të vitit 2023 dinamika </t>
  </si>
  <si>
    <t>e tyre është më e shpejtë për 3.29 % , ndërsa plani për vitin 2024 është realizuar 100.00 % .</t>
  </si>
  <si>
    <t xml:space="preserve">                 Në shumën e gjithmbarshme të shpenzimeve buxhetore pagat dhe meditjet marrin pjesë me 15.29 % .</t>
  </si>
  <si>
    <t xml:space="preserve">                   Për dymbëdhjetë muaj të vitit 2024 në emër të transfereve dhe subvencioneve janë paguar 240,222.18 € , që është 97.88 % nga plani.</t>
  </si>
  <si>
    <t xml:space="preserve">Gjatë periudhës janar - dhjetor të vitit 2024 janë realizuar të hyra vetanake në shumë prej 33,385.00 € , respektivisht 166.93 % nga </t>
  </si>
  <si>
    <t xml:space="preserve">                  Në raport me periudhën e njajtë të vitit 2023 dinamika e grumbullimit të të hyrave është më e ngadalshme për 20.55 % .</t>
  </si>
  <si>
    <t xml:space="preserve">                 Nga licencat për transport të mallrave  janë grumbulluar 59.86 % të të hyrave vetanake . Pasojnë licencat për shërbim të pijeve alkoolike</t>
  </si>
  <si>
    <t xml:space="preserve"> me 30.10 % dhe me 10.03 % licencat për shërbime profesionale. Donacionet e jashtme nga EU-UNIONI EUROPIAN arrijnë shumën 219,530.29 €</t>
  </si>
  <si>
    <t xml:space="preserve">                  Pagat dhe meditjet për periudhën raportuese kapin shumën prej 87,154.15 € . Në krahasim me periudhën janar - dhjetor të vitit 2023</t>
  </si>
  <si>
    <t>pagesat për këtë kategori buxhetore shënojnë dinamikë më të shpejtë për 17.37 % , ndërsa plani për vitin 2024 është realizuar 100.00 % . Në shumën</t>
  </si>
  <si>
    <t xml:space="preserve">                  Në emër të mallrave dhe shërbimeve janë shpenzuar 274,485.89 € ose 96.08 % nga plani . </t>
  </si>
  <si>
    <r>
      <t xml:space="preserve">Nga Transfere dhe subvencione për vitin 2024 janë planifikuar 100,000.00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janë shpenzuar 99,492.14 </t>
    </r>
    <r>
      <rPr>
        <sz val="10"/>
        <color indexed="8"/>
        <rFont val="Calibri"/>
        <family val="2"/>
      </rPr>
      <t>€ dhe paraqesen 99.49 % nga plani.</t>
    </r>
  </si>
  <si>
    <r>
      <t xml:space="preserve">                  Gjatë periudhës janar - dhjetor të vitit 2024 Drejtorati për gjeodezi e kadastër ka realizuar të hyra vetanake në shumë prej 335,897.00 </t>
    </r>
    <r>
      <rPr>
        <sz val="10"/>
        <rFont val="Calibri"/>
        <family val="2"/>
      </rPr>
      <t>€</t>
    </r>
  </si>
  <si>
    <t xml:space="preserve"> respektivisht 90.78 % nga planifikimi vjetor. </t>
  </si>
  <si>
    <t xml:space="preserve">                  Në raport me periudhën e njajtë të vitit paraprak dinamika e grumbullimit të të hyrave gjatë periudhës janar - dhjetor të vitit 2024 është më</t>
  </si>
  <si>
    <t xml:space="preserve"> e ngadalshme për 22.97 % .</t>
  </si>
  <si>
    <t xml:space="preserve">                  Nga taksat për regjistrim të trashigimisë janë grumbulluar 39.48 % të të hyrave pranë këtij drejtorati të cilat arrijnë shumën prej 132,612.00 €</t>
  </si>
  <si>
    <t>duke shënuar realizim të planit për vitin raportues 110.51 %.</t>
  </si>
  <si>
    <t xml:space="preserve">                   Nga taksat tjera administrative janë grumbulluar 13,885.00 € , gjegjësisht 4.13 % të të hyrave të gjithmbarshme . Në raport me periudhën </t>
  </si>
  <si>
    <t>krahasuese dinamika e tyre është më e shpejte për 148.48 % .</t>
  </si>
  <si>
    <r>
      <t xml:space="preserve">                   Nga Taksa për certifikata të pronësisë dhe kopje plani janë grumbulluar 102,300.00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ose 81.84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plani, gjegjësisht 30.46 % të të hyrave </t>
    </r>
  </si>
  <si>
    <t>të gjithmbarshme, regjistrimi i pengut janë grumbulluar 19,535.00 € , gjegjësisht 5.82 % të të hyrave të gjithmbarshme .</t>
  </si>
  <si>
    <t>Taksat për matjen e tokës në teren arrijnë shumën prej 67,565.00 € dhe shënojnë realizim të planit 61.42 % . Në shumën e gjithmbarshme</t>
  </si>
  <si>
    <t xml:space="preserve"> të të hyrave ky lloj i të hyrave merr pjesë me 20.11 % .</t>
  </si>
  <si>
    <t xml:space="preserve">Shpenzimet e gjithmbarshme buxhetore për dymbëdhjetë muaj të vitit 2024 kapin shumën prej 139,402.85 € ose 5.77 % më shumë se gjatë </t>
  </si>
  <si>
    <t>periudhës krahasuese , ndërsa plani për vitin 2024 është realizuar 99.77 % .</t>
  </si>
  <si>
    <t xml:space="preserve">                  Pagat dhe meditjet për periudhën raportuese kapin shumën prej  133,726.72 € . Në raport me periudhën krahasuese pagesat për këtë </t>
  </si>
  <si>
    <t xml:space="preserve">kategori buxhetore shënojnë dinamikë më të shpejte për 4.72 % , ndërsa plani për vitin 2024 është realizuar 100.00 % . </t>
  </si>
  <si>
    <t xml:space="preserve">                  Në shumën e gjithmbarshme të shpenzimeve buxhetore pagat dhe meditjet marrin pjesë me 95.93 %.</t>
  </si>
  <si>
    <t xml:space="preserve">                  Në emër të mallrave dhe shërbimeve janë shpenzuar 5,676.13 € ose 4.07 % të shpenzimeve të gjithmbarshme. Në raport me  periudhën</t>
  </si>
  <si>
    <r>
      <t xml:space="preserve"> krahasuese dinamika e tyre është e shpejtë për 38.49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dhe paraqesin 94.60 % nga planifikimi vjetor.</t>
    </r>
  </si>
  <si>
    <t xml:space="preserve">                  Gjatë periudhës janar - dhjetor të vitit 2024 janë realizuar të hyra vetanake në shumë prej 526,283.64 €.</t>
  </si>
  <si>
    <t>Në raport me periudhën krahasuese dinamika e realizimit të të hyrave është më e ngadalshme për 17.53 % , ndërsa plani për vitin raportues</t>
  </si>
  <si>
    <r>
      <t xml:space="preserve">është realizuar 149.94 %. Vlen të ceket se 61.51 % të të hyrave janë inkasuar nga qiraja nga objektet publike,të cilat kapin shumën 323,736.39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në   </t>
    </r>
  </si>
  <si>
    <r>
      <t xml:space="preserve">raport me periudhën krahasuese shënojnë dinamikë më të shpejte për 10.36 % , duke shënuar realizim të  planit vjetor 534.78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</si>
  <si>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r>
      <t xml:space="preserve">Nga shitja e pasurisë janë arketuar 27.61 % të të hyrave ose 145,319.00 € dhe janë për 37.55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me të ulta se në njejten periudhen nga viti paraprak.      </t>
    </r>
  </si>
  <si>
    <t>Shpenzimet e gjithmbarshme buxhetore kapin shumën prej 46,862.28 € ose 99.92 % nga plani për vitin 2024</t>
  </si>
  <si>
    <t xml:space="preserve">                   Në raport me periudhën krahasuese dinamika e tyre është më e shpejte për 5.58 % se nuk ka plan dhe realizim për projekte kapitale.</t>
  </si>
  <si>
    <t xml:space="preserve">                   Pagat dhe meditjet kapin shumën prej 42,897.92 € dhe paraqesin 100.00 % të planit për vitin 2024</t>
  </si>
  <si>
    <t xml:space="preserve">                   Në shumën e gjithmbarshme të shpenzimeve buxhetore pagat dhe meditjet marrin pjesë me 91.54 % .</t>
  </si>
  <si>
    <t xml:space="preserve">                   Në emër të mallrave dhe shërbimeve janë shpenzuar 3,964.36 € ose 8.46 % të shpenzimeve të  gjithmbarshme . Në raport me periudhën</t>
  </si>
  <si>
    <t xml:space="preserve"> krahasuese dinamika e tyre është më e ngadalshme për 0.75 % dhe paraqesin 99.11 % nga plani për vitin raportues .</t>
  </si>
  <si>
    <t xml:space="preserve">                 Gjatë periudhës janar - dhjetor të vitit 2024 janë realizuar të hyra vetanake në shumë prej 1,231,217.40 €, respektivisht 97.13 % më shumë</t>
  </si>
  <si>
    <t>krahasuar me periudhën e njajtë të vitit paraprak , duke shënuar tejkalim të planit vjetor për  79.20 % .</t>
  </si>
  <si>
    <t xml:space="preserve">                  Të hyrat nga taksa komunale për leje të ndërtimit arrijnë shumën 1,199,880.62 € dhe në të hyra të gjithmbarshme marrin pjesë me 97.45 % .</t>
  </si>
  <si>
    <t>Në raport me periudhën krahasuese dinamika e tyre është më e shpejtë për 98.01 % ndërsa  plani vjetor është tejkaluar për 106.46 % .</t>
  </si>
  <si>
    <t>Të hyrat nga taksa për legalizimin e objekteve përbëjnë 2.55 % të të hyrave të gjithmbarshme dhe në fund të periudhës raportuese arrijnë</t>
  </si>
  <si>
    <r>
      <t xml:space="preserve">shumën 31,336.78 € dhe janë për 68.60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me të mëdha nga viti paraprak dhe paraqesin realizimit e planit për 70.40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</si>
  <si>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t xml:space="preserve">Shpenzimet e gjithmbarshme buxhetore për dymbëdhjetë muaj të vitit 2024 kapin shumën prej 294,842.19 € ose 18.19 % më pak se gjatë </t>
  </si>
  <si>
    <t xml:space="preserve">periudhës krahasuese, ndërsa plani për vitin 2024 është realizuar 96.81 %. </t>
  </si>
  <si>
    <t xml:space="preserve">                  Pagat dhe meditjet për periudhën raportuese kapin shumën prej 108,550.14 € . Në krahasim me periudhën janar - dhjetor të vitit 2023</t>
  </si>
  <si>
    <t>pagesat për këtë kategori buxhetore shënojnë dinamikë më të ultë për 2.74 % , ndërsa plani për vitin 2024 është realizuar 100.00 % .</t>
  </si>
  <si>
    <t xml:space="preserve">                  Në shumën e gjithmbarshme të shpenzimeve buxhetore pagat dhe meditjet marrin pjesë me 36.82 % .</t>
  </si>
  <si>
    <t xml:space="preserve">                  Në emër të mallrave dhe shërbimeve janë shpenzuar 15,616.52 € ose 5.30 % të shpenzimeve të gjithmbarshme . Pagesat për këtë kategori</t>
  </si>
  <si>
    <t>buxhetore janë për 16.94 % më të ulta në raport me periudhën janar - dhjetor të vitit 2023</t>
  </si>
  <si>
    <t xml:space="preserve">                  Investimet kapitale arrijnë shumën prej 170,675.53 € . Në shumën e gjithmbarshme të shpenzimeve buxhetore investimet kapitale marrin</t>
  </si>
  <si>
    <r>
      <t xml:space="preserve">pjesë me 57.89 % dhe paraqesin 94.82 % nga planifikimi vjetor dhe janë për 25.79 </t>
    </r>
    <r>
      <rPr>
        <sz val="10"/>
        <rFont val="Calibri"/>
        <family val="2"/>
      </rPr>
      <t>%</t>
    </r>
    <r>
      <rPr>
        <sz val="10"/>
        <rFont val="Arial Narrow"/>
        <family val="2"/>
      </rPr>
      <t xml:space="preserve"> me të ulta se nga periudha të njetë nga viti paraprak.</t>
    </r>
  </si>
  <si>
    <t xml:space="preserve">                  Gjatë periudhës janar - dhjetor të vitit 2024 shpenzimet e gjithmbarshme buxhetore kapin shumën prej 38,059.31 € ose 50.79 % më pak</t>
  </si>
  <si>
    <t xml:space="preserve">se gjatë periudhës së njajtë të vitit paraprak , ndërsa plani për vitin raportues është realizuar 99.56 % . </t>
  </si>
  <si>
    <t xml:space="preserve">                  Pagat dhe meditjet për periudhën raportuese kapin shumën prej 33,228.87 € . Në krahasim me periudhën janar - dhjetor të vitit 2023</t>
  </si>
  <si>
    <t xml:space="preserve">dinamika e tyre është më e shpejtë për 2.66 % , ndërsa plani për vitin 2024 është realizuar 100.00 % . </t>
  </si>
  <si>
    <t xml:space="preserve">                  Në shumën e gjithmbarshme të shpenzimeve buxhetore pagat dhe meditjet marrin pjesë me 87.31 % .</t>
  </si>
  <si>
    <t xml:space="preserve">                  Në emër të mallrave dhe shërbimeve janë shpenzuar 4,830.44 € ose 12.69 % të shpenzimeve të gjithmbarshme . Në raport me periudhën</t>
  </si>
  <si>
    <t xml:space="preserve"> krahasuese dinamika e tyre është më e ngadalshmë për 2.89 % dhe paraqesin 96.61 % nga planifikimi vjetor .</t>
  </si>
  <si>
    <t xml:space="preserve">                   Gjatë periudhës janar - dhjetor të vitit 2024 janë realizuar të hyra vetanake në shumë prej 112,347.50 € , ose 5.07 % më shumë se gjatë</t>
  </si>
  <si>
    <t>periudhës së njajtë të vitit 2023 ndërsa plani vjetor është realizuar 105.00 % .</t>
  </si>
  <si>
    <t>Shpenzimet e gjithmbarshme buxhetore për dymbëdhjetë muaj të vitit 2024 kapin shumën prej 4,686,831.28 € ose 2.17 % më shumë se gjatë</t>
  </si>
  <si>
    <t xml:space="preserve">periudhës së njajtë të vitit paraprak ndërsa plani për vitin 2024 është realizuar 99.66 % . </t>
  </si>
  <si>
    <t xml:space="preserve">                   Pagat dhe meditjet për periudhën raportuese kapin shumën prej 3,319,061.73 € . Në raport me periudhën krahasuese pagesat për këtë</t>
  </si>
  <si>
    <t>kategori buxhetore shënojnë dinamikë më të shpejtë për 7.65 % , ndërsa plani për vitin 2024 është realizuar 100.00 % .</t>
  </si>
  <si>
    <t xml:space="preserve">                  Në shumën e gjithmbarshme të shpenzimeve buxhetore pagat dhe meditjet marrin pjesë me 70.82 % .</t>
  </si>
  <si>
    <t xml:space="preserve">                  Në emër të mallrave dhe shërbimeve janë shpenzuar 619,318.76 € ose 13.21 % të shpenzimeve totale . Dinamika e tyre është për </t>
  </si>
  <si>
    <t>2.08 % më e ngadalshme në raport me periudhën krahasuese , ndërsa plani vjetor është realizuar 99.76 %.</t>
  </si>
  <si>
    <t xml:space="preserve">                  Gjatë periudhës raportuese janë paguar për shpenzime komunale 170,783.76 € dhe paraqesin realizim të planit 99.87 % . </t>
  </si>
  <si>
    <t xml:space="preserve">                  Në shpenzime të gjithmbarshme pagesat për këtë kategori buxhetore marrin pjesë me 3.64 % .</t>
  </si>
  <si>
    <r>
      <t xml:space="preserve">Shpenzime për transfere dhe subvencione për këtë periudhen raportuese janë 60,000.00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paraqesin realizimin e planit 100.00 </t>
    </r>
    <r>
      <rPr>
        <sz val="10"/>
        <color indexed="8"/>
        <rFont val="Calibri"/>
        <family val="2"/>
      </rPr>
      <t>%</t>
    </r>
  </si>
  <si>
    <t>Investimet kapitale arrijnë shumën prej 517,667.05 € . Në shumën e gjithmbarshme të shpenzimeve investimet kapitale marrin pjesë me</t>
  </si>
  <si>
    <t xml:space="preserve">11.05 %. Dinamika e tyre është për 27.47 % më e ngadalshme në raport me periudhën krahasuese , ndërsa plani vjetor është realizuar 97.33 % . </t>
  </si>
  <si>
    <t xml:space="preserve">                  Gjatë periudhës janar - dhjetor të vitit 2024 shpenzimet e gjithmbarshme buxhetore kapin shumën prej 273,961.43 € ose 3.36 % më shum</t>
  </si>
  <si>
    <t xml:space="preserve">se gjatë periudhës së njajtë të vitit paraprak , ndërsa plani për vitin raportues është  realizuar 99.79 % . </t>
  </si>
  <si>
    <t xml:space="preserve">                  Pagat dhe meditjet për periudhën raportuese kapin shumën prej 134,216.07 € . Në krahasim me periudhën janar - dhjetor të vitit 2023</t>
  </si>
  <si>
    <t>pagesat për këtë kategori buxhetore shënojnë dinamikë më të lartë për 3.06 % ndërsa plani për vitin 2024 është realizuar 100.00 % .</t>
  </si>
  <si>
    <t xml:space="preserve">                 Në shumën e gjithmbarshme të shpenzimeve buxhetore pagat dhe meditjet marrin pjesë me 48.99 % .</t>
  </si>
  <si>
    <t xml:space="preserve">                 Në emër të mallrave dhe shërbimeve janë shpenzuar 23,518.04 € ose 8.58 % të shpenzimeve të gjithmbarshme . </t>
  </si>
  <si>
    <t xml:space="preserve">                 Dinamika e realizimit të pagesave për mallra dhe shërbime është për 37.35 % më e shpejtë në raport me periudhën e njajtë të vitit paraprak</t>
  </si>
  <si>
    <t>ndërsa plani për vitin 2024 është realizuar 99.23 % .</t>
  </si>
  <si>
    <t xml:space="preserve">                 Pagesat për shpenzime komunale kapin shumën prej 24,540.71 € dhe përbëjnë 8.96 % të shpenzimeve të gjithmbarshme buxhetore . </t>
  </si>
  <si>
    <r>
      <t xml:space="preserve">                 Në raport me periudhën krahasuese dinamika e tyre është e lartë për 40.47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, ndërsa plani vjetor është realizuar 99.76 % . </t>
    </r>
  </si>
  <si>
    <r>
      <t xml:space="preserve">Pagesat për transfere dhe subvencione arrijnë shumën 79,836.61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paraqesin realizimin e planit 99.78 </t>
    </r>
    <r>
      <rPr>
        <sz val="10"/>
        <color indexed="8"/>
        <rFont val="Calibri"/>
        <family val="2"/>
      </rPr>
      <t>%</t>
    </r>
  </si>
  <si>
    <r>
      <t xml:space="preserve">Pagesat për investime kapitale arrijnë shumën 11,850.00 € dhe paraqesin realizimin e planit vjetor për 98.75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. Në periudhen </t>
    </r>
  </si>
  <si>
    <r>
      <t xml:space="preserve">e njejten nga viti paraprak shenojin dinamiken më të ultë për 70.56 </t>
    </r>
    <r>
      <rPr>
        <sz val="10"/>
        <color indexed="8"/>
        <rFont val="Calibri"/>
        <family val="2"/>
      </rPr>
      <t xml:space="preserve">%. </t>
    </r>
  </si>
  <si>
    <t>Shpenzime për paga dhe meditje për këtë periudhen raportuese nuk ka.</t>
  </si>
  <si>
    <r>
      <t xml:space="preserve">Gjatë periudhës Janar - Dhjetor të vitit  2024 shpenzimet buxhetore gjithmbarshme në këtë program kapin shumën prej 621,256.89 € ose 213.73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</t>
    </r>
  </si>
  <si>
    <t xml:space="preserve"> më shumë se gjatë periidhës së njejtë të vitit paraprak, ndërsa plani për vitin raportues është realizuar 93.52 % .  </t>
  </si>
  <si>
    <r>
      <t xml:space="preserve"> Në emër të mallrave dhe shërbimeve janë shpenzuar 44,829.31 € ose 7.22 % të shpenzimeve të gjithmbarshme dhe paraqet realizimin e planit 99.62 </t>
    </r>
    <r>
      <rPr>
        <sz val="10"/>
        <color indexed="8"/>
        <rFont val="Calibri"/>
        <family val="2"/>
      </rPr>
      <t>%</t>
    </r>
  </si>
  <si>
    <r>
      <t xml:space="preserve">Pagesat për Investime kapitale kapitn shumet prej 571,427.58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përbëjnë 91.98 </t>
    </r>
    <r>
      <rPr>
        <sz val="10"/>
        <color indexed="8"/>
        <rFont val="Calibri"/>
        <family val="2"/>
      </rPr>
      <t xml:space="preserve">% shpenzimeve gjithmbarshme buxhetore. </t>
    </r>
  </si>
  <si>
    <t xml:space="preserve">Në raport me periudhën krahasuese dinamika e tyre është më e shpejtë për 188.57 % ndërsa plani vjetor është realizuar 93.02 %. </t>
  </si>
  <si>
    <t xml:space="preserve">                  Gjatë periudhës janar - dhjetor të vitit 2024 Drejtorati për kulturë,rini dhe sport ka realizuar të hyra vetanake në shumë prej 1,389.00 €</t>
  </si>
  <si>
    <t>dhe paraqesin realizim të planit vjetor 277.80 % .</t>
  </si>
  <si>
    <t xml:space="preserve">                  Në raport me periudhën e njajtë të vitit paraprak dinamika e grumbullimit të të hyrave gjatë periudhës janar - dhjetor të vitit 2023 është më </t>
  </si>
  <si>
    <t>e ngadalshme për 74.84 %  .</t>
  </si>
  <si>
    <r>
      <t xml:space="preserve">Të hyrat e arketuara janë nga qiraja nga objekte publike dhe Participim nha Biblioteka dhe arrijnë shumën 1,389.00 </t>
    </r>
    <r>
      <rPr>
        <sz val="10"/>
        <color indexed="8"/>
        <rFont val="Calibri"/>
        <family val="2"/>
      </rPr>
      <t>€</t>
    </r>
  </si>
  <si>
    <r>
      <t xml:space="preserve">Gjatë periudhës raportuese janë realizuar donacione nga EU-UNIONI EUROPIAN në shumë prej 0.00 € dhe nga Qeveria Italiane 0.00 </t>
    </r>
    <r>
      <rPr>
        <sz val="10"/>
        <color indexed="8"/>
        <rFont val="Calibri"/>
        <family val="2"/>
      </rPr>
      <t>€</t>
    </r>
  </si>
  <si>
    <t xml:space="preserve">kështuqë të hyrat e gjithmbarshme arrijnë shumën prej 0.00 € . Në shumën e gjithmbarshme të të hyrave donacionet marrin pjesë me 0.00 % . </t>
  </si>
  <si>
    <t xml:space="preserve">                  Shpenzimet e gjithmbarshme buxhetore për dymbëdhjetë muaj të vitit 2024 kapin shumën prej 1,964,550.30 € ose 19.53 % më shum se gjatë </t>
  </si>
  <si>
    <t>periudhës krahasuese ndërsa plani për vitin 2024 është realizuar 98.02 % .</t>
  </si>
  <si>
    <t xml:space="preserve">                  Pagat dhe meditjet për periudhën raportuese kapin shumën prej 233,538.79 € . Në raport me periudhën janar - dhjetor të  vitit 2023</t>
  </si>
  <si>
    <t>pagesat për këtë kategori buxhetore shënojnë dinamikë më të ngadalshme për 3.64 % , ndërsa  plani për vitin 2024 është realizuar 100.00 % .</t>
  </si>
  <si>
    <t xml:space="preserve">                  Në shumën e gjithmbarshme të shpenzimeve buxhetore pagat dhe meditjet marrin pjesë me 11.89 % .</t>
  </si>
  <si>
    <t xml:space="preserve">                  Në emër të mallrave dhe shërbimeve janë shpenzuar 71,251.40 € ose 3.63 % të shpenzimeve të  gjithmbarshme. </t>
  </si>
  <si>
    <t xml:space="preserve">                  Në raport me periudhën krahasuese dinamika e tyre është më e ngadalshme për 74.69 % dhe shënojnë realizim të planit 83.12 % .</t>
  </si>
  <si>
    <t xml:space="preserve">                  Shpenzimet komunale kapin shumën prej 76,499.60 € dhe përbëjnë 3.89 % të shpenzimeve të gjithmbarshme.</t>
  </si>
  <si>
    <t xml:space="preserve">                  Në raport me periudhën krahasuese dinamika e tyre është më e shpejte për 15.92 % dhe plani vjetor është realizuar 100.00 % .</t>
  </si>
  <si>
    <t xml:space="preserve">                  Për dymbëdhjet muaj të vitit 2024 në emër të transfereve dhe subvencioneve janë paguar 309,941.13 € , që është 98.50 % nga plani vjetor dhe</t>
  </si>
  <si>
    <t xml:space="preserve"> janë për 43.26 % më të larta në raport me periudhën krahasuese.</t>
  </si>
  <si>
    <r>
      <t xml:space="preserve">Investimet kapitale të vitit 2024 arrinë shumën prej 1,273,319.38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dhe janë për 38.83 % me të larta me periudhën krahasuse të vitit paraprak.</t>
    </r>
  </si>
  <si>
    <t xml:space="preserve">                  Teatri për vitin 2024 nuk ka paraparë planifikim të të hyrave .</t>
  </si>
  <si>
    <t xml:space="preserve">                  Shpenzimet e gjithmbarshme buxhetore për dymbedhjetë muaj të vitit 2024 kapin shumën prej 210,085.64 € ose 99.82 % nga planifikimi vjetor .</t>
  </si>
  <si>
    <r>
      <t xml:space="preserve">Shpenzimet e gjithmbarshme për periudhën raportuese kategorisë së pagave dhe meditjeve arrine shumen 147,961.24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 Narrow"/>
        <family val="2"/>
      </rPr>
      <t xml:space="preserve"> ose 70.43 % shp. gjithm.</t>
    </r>
  </si>
  <si>
    <t xml:space="preserve">Në emër të mallrave dhe shërbimeve janë shpenzuar 16,978.58 € ose 8.08  % të shpenzimeve të  gjithmbarshme. </t>
  </si>
  <si>
    <t xml:space="preserve">Në emër të shpenzimeve komunale janë shpenzuar 5,500.00 € ose 2.62  % të shpenzimeve të  gjithmbarshme. </t>
  </si>
  <si>
    <t>Për dymbedhetë muaj të vitit 2024 në emër të transfereve dhe subvencioneve janë paguar 39,645.82 € , që është 99.11 % nga plani vjetor.</t>
  </si>
  <si>
    <t xml:space="preserve">Shpenzimet e gjithmbarshme buxhetore për dymbëdhjetë muaj të vitit 2024 kapin shumën prej 936,824.33 € ose 54.62 % më pak se gjatë </t>
  </si>
  <si>
    <t xml:space="preserve">periudhës së njajtë të vitit paraprak,ndërsa plani për vitin 2024 është realizuar 99.27 % . </t>
  </si>
  <si>
    <t xml:space="preserve">                  Pagat dhe meditjet për periudhën raportuese kapin shumën prej 109,502.03 € . Në raport me periudhën janar - dhjetor të vitit 2023</t>
  </si>
  <si>
    <t xml:space="preserve">pagesat për këtë kategori buxhetore shënojnë dinamikë më të shpejtë për 11.51 % , ndërsa plani për vitin 2024 është realizuar 100.00 % .  </t>
  </si>
  <si>
    <t xml:space="preserve">                  Në shumën e gjithmbarshme të shpenzimeve buxhetore pagat dhe meditjet marrin pjesë me 11.69 % .</t>
  </si>
  <si>
    <t xml:space="preserve">                  Në emër të mallrave dhe shërbimeve janë shpenzuar 629,735.77 € ose 67.22 % të shpenzimeve të gjithmbarshme. Dinamika e tyre është </t>
  </si>
  <si>
    <t>për 42.80 më e ngadalshme në raport me periudhën krahasuese dhe paraqet realizim të planit  99.31 % .</t>
  </si>
  <si>
    <t xml:space="preserve">Pagesat për shpenzime komunale kapin shumën prej 127,996.53 € dhe përbëjnë 13.66 % të shpenzimeve të gjithmbarshme . Në raport me </t>
  </si>
  <si>
    <r>
      <t xml:space="preserve">periudhën krahasuese dinamika e tyre është  për 28.59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më ë ngadalshme, ndërsa plani vjetor është realizuar 100.00% .</t>
    </r>
  </si>
  <si>
    <t xml:space="preserve">                  Në emër të investimeve kapitale janë shpenzuar 69,590.00 € ose 89.85 % më pak se gjatë periudhës raportuese nga viti paraprak. </t>
  </si>
  <si>
    <t>Plani i investimeve kapitale është realizuar 96.46 % dhe shpenzimi i realizuar paraqet 7.43 % nga shpenzimet e gjithmbarshme buxhetore</t>
  </si>
  <si>
    <t xml:space="preserve">                   Gjatë periudhës janar-dhjetor të vitit 2024 të hyrat vetanake janë realizuar në shumë prej 144,381.00 € respektivisht 288.76.28 % nga plani . </t>
  </si>
  <si>
    <t xml:space="preserve">                   Në raport me periudhën krahasuese dinamika e grumbullimit të të hyrave është më e shpejte për 65.69 % .   </t>
  </si>
  <si>
    <t xml:space="preserve">Shpenzimet e gjithmbarshme buxhetore për dymbëdhjetë muaj të vitit 2024 kapin shumën prej 644,027.37 € ose 9.87 %  më shum se gjatë </t>
  </si>
  <si>
    <t xml:space="preserve">periudhës së njajtë të vitit paraprak, ndërsa plani për vitin 2024 është realizuar 99.52 % . </t>
  </si>
  <si>
    <t xml:space="preserve">                  Pagat dhe meditjet për periudhën raportuese kapin shumën prej 514,296.45 € . Në raport me periudhën janar - dhjetor të vitit 2023</t>
  </si>
  <si>
    <t>pagesat për këtë kategori buxhetore shënojnë dinamikë më të shpejt për 9.10 %, ndërsa plani për vitin 2024 është realizuar 99.50 % .</t>
  </si>
  <si>
    <t xml:space="preserve">                  Në shumën e gjithmbarshme të shpenzimeve buxhetore pagat dhe meditjet marrin pjesë me 79.86 % .</t>
  </si>
  <si>
    <t xml:space="preserve">                  Në emër të mallrave dhe shërbimeve janë shpenzuar 129,730.92 € ose 20.14 % të shpenzimeve të gjithmbarshme . </t>
  </si>
  <si>
    <t xml:space="preserve">                  Dinamika e pagesave për mallra dhe shërbime është për 13.05 % më e shpejtë në raport me periudhën krahasuese ndërsa plani  </t>
  </si>
  <si>
    <t xml:space="preserve"> vjetor është  realizuar 99.61 % .</t>
  </si>
  <si>
    <t xml:space="preserve">                  Arsimi fillor për vitin 2024 nuk janë planifikuar dhe as realizuar të hyra .</t>
  </si>
  <si>
    <r>
      <t xml:space="preserve">Gjatë periudhës raportuese janë realizuar donacione nga Save the children, Sh. Fillore Sami Frasheri 6,935.16 </t>
    </r>
    <r>
      <rPr>
        <sz val="10"/>
        <rFont val="Calibri"/>
        <family val="2"/>
      </rPr>
      <t>€</t>
    </r>
    <r>
      <rPr>
        <sz val="10"/>
        <rFont val="Arial Narrow"/>
        <family val="2"/>
      </rPr>
      <t xml:space="preserve"> dhe Sh. Fillore 28 Nëntori  5,192.97 </t>
    </r>
    <r>
      <rPr>
        <sz val="10"/>
        <rFont val="Calibri"/>
        <family val="2"/>
      </rPr>
      <t>€</t>
    </r>
  </si>
  <si>
    <t xml:space="preserve">në shumen gjithmbarshme 12,128.13 €. </t>
  </si>
  <si>
    <t xml:space="preserve">                  Në emër të mallrave dhe shërbimeve janë shpenzuar 89,992.35 € ose 0.77 % të shpenzimeve të gjithmbarshme . Dinamika e  tyre është </t>
  </si>
  <si>
    <t>për 59.68 % më e ngadalshme në raport me periudhën krahasuese, ndërsa plani vjetor është realizuar 99.99 %  .</t>
  </si>
  <si>
    <t xml:space="preserve">                  Gjatë periudhës janar - dhjetor të vitit 2024 të hyrat vetanake kapin shumën prej 49,050.20 € respektivisht 14.41 % më pak së në raport me</t>
  </si>
  <si>
    <r>
      <t>periudhën krahasuese , ndërsa plani për vitin 2024 është realizuar 98.10 % . Donacionet nga EU-UNIONI EUROPIAN arrijnë shumën 25,078.00</t>
    </r>
    <r>
      <rPr>
        <sz val="10"/>
        <rFont val="Calibri"/>
        <family val="2"/>
      </rPr>
      <t>€</t>
    </r>
  </si>
  <si>
    <t>Shpenzimet e gjithmbarshme buxhetore për dymbëdhjetë muaj të vitit 2024 kapin shumën prej 3,973,496.63 € ose 8.52 % më pak se gjatë</t>
  </si>
  <si>
    <t xml:space="preserve">                  Pagat dhe meditjet për periudhën raportuese kapin shumën prej 3,363,896.18 € . Në raport me periudhën janar -dhjetor të vitit 2023</t>
  </si>
  <si>
    <t>pagesat për këtë kategori buxhetore shënojnë dinamikë më të ultë për 17.36 % , ndërsa plani për vitin 2024 realizuar 99.98 % .</t>
  </si>
  <si>
    <t xml:space="preserve">                  Në shumën e gjithmbarshme të shpenzimeve buxhetore pagat dhe meditjet marrin pjesë me 84.66 % .</t>
  </si>
  <si>
    <t xml:space="preserve">                  Në emër të mallrave dhe shërbimeve janë shpenzuar 72,921.09 € ose 1.84 % të shpenzimeve të gjithmbarshme . </t>
  </si>
  <si>
    <t xml:space="preserve">                  Dinamika e pagesave për mallra dhe shërbime është për 15.57 % më e shpejtë në raport me periudhën krahasuese dhe paraqesin </t>
  </si>
  <si>
    <t xml:space="preserve">Shpenzimet për investime kapitale për ketë periudhen raportuese janë 536,679.36 € dhe paraqesin realizimin e planit 100.00 % dhe janë për </t>
  </si>
  <si>
    <t>155.63 % me të mëdha si nga njejta periudhe nga viti paraprak.</t>
  </si>
  <si>
    <t xml:space="preserve">Për akomodim gjatë udhetim zyrtar jasht vendit ka ritje për 25.10 % dhe tejkalim nga plani 204.59 %, janë paguar 19,798.08 €,  </t>
  </si>
  <si>
    <t xml:space="preserve">Shpenzimet e gjithmbarshme buxhetore për dymbëdhjetë muaj të vitit 2024 kapin shumën prej 972,742.50 €  ose 36.11 % më pak se gjatë </t>
  </si>
  <si>
    <t xml:space="preserve">periudhës krahasuese ndërsa plani për vitin 2024 është realizuar 96.73 % . </t>
  </si>
  <si>
    <t xml:space="preserve">                 Për mallra dhe shërbime janë shpenzuar 51,033.48 € ose 5.25 % të shpenzimeve të gjithmbarshme. Në raport me periudhën krahasuese</t>
  </si>
  <si>
    <t>dinamika e tyre është më e shpejtë për 219.52 % dhe plani për vitin 2024 është realizuar 73.96 % .</t>
  </si>
  <si>
    <t xml:space="preserve">Pagesat për investime kapitale arrijnë shumën prej 532,762.79 € ose 98.21 % nga plani vjetor dhe përbëjnë 54.77 % të shumës së </t>
  </si>
  <si>
    <t xml:space="preserve">Për shpenzimet të ndryshme intelektuale dhe keshidhense janë shpenzuar  22,363.12 € ose 163.10 % ma shumë se në vitin e kaluar dhe paraqet tejkalimin e planit </t>
  </si>
  <si>
    <t>për 447.26 %.</t>
  </si>
  <si>
    <r>
      <t xml:space="preserve">njejt nga viti paraprak dhe 99.28 </t>
    </r>
    <r>
      <rPr>
        <sz val="10"/>
        <color indexed="8"/>
        <rFont val="Calibri"/>
        <family val="2"/>
      </rPr>
      <t>% nga plani për vitin 2024.</t>
    </r>
  </si>
  <si>
    <t xml:space="preserve"> - Drejtorati i Administratës dhe personelit me 12.66 % , etj. </t>
  </si>
  <si>
    <t xml:space="preserve"> - Drejtorati i Arsimit me 13.23 % , </t>
  </si>
  <si>
    <t xml:space="preserve"> - Drejtorati për  Shëndetësi me 17.66 % ,</t>
  </si>
  <si>
    <t>Dinamika dhe struktura e pagesave për shpenzimet komunale sipas kodeve ekonomike është si në vijon:</t>
  </si>
  <si>
    <t xml:space="preserve">                  Pagesat e lartëcekura janë financuar nga të hyrat vetanake dhe Donatoret e brendshëm.</t>
  </si>
  <si>
    <t>Dinamika dhe struktura e pagesave për transfere dhe subvencione sipas kodeve ekonomike është si në vijon:</t>
  </si>
  <si>
    <t>Për pagesa - vendime gjyqësore janë egzekutuar 98,209.55 € dhe janë shumë me të larta si në njejten periushen nga viti paraprak.</t>
  </si>
  <si>
    <r>
      <t xml:space="preserve">Për sigurimin fizik I objekteve publike janë shpenzuar 66.91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nga plani ose 180,993.12 </t>
    </r>
    <r>
      <rPr>
        <sz val="10"/>
        <color indexed="8"/>
        <rFont val="Calibri"/>
        <family val="2"/>
      </rPr>
      <t>€</t>
    </r>
  </si>
  <si>
    <t xml:space="preserve"> T O T A L I  ( I + II + III + IV ) :</t>
  </si>
  <si>
    <t xml:space="preserve">                 Gjatë periudhës raportuese janë realizuar gjoba nga gjykatat në lartësi prej 76,305.00 €  të cilat në të hyra të gjithmbarshme marrin pjesë </t>
  </si>
  <si>
    <t>me 1.01 % dhe gjobat në trafik  në shumë prej 1,044,141.50 ose 13.88 % nga shuma e gjithmbarshme e të hyrave .</t>
  </si>
  <si>
    <t xml:space="preserve">Gjatë periudhës raportuese janë realizuar edhe të hyra nga gjykatat , në shumë prej 76,305.00 €, kështuqë të hyrat e gjithmbarshme </t>
  </si>
  <si>
    <t>arrijnë shumën 110,406.70 €. Në shumën e gjithmbarshme të të hyrave gjobat nga gjykatat marrin pjesë me 69.11 % .</t>
  </si>
  <si>
    <t xml:space="preserve">                  Të hyrat nga tatimi në pronë arrijnë shumën prej 2,213,583.47 € respektivisht 82.48 % nga plani  për vitin 2024</t>
  </si>
  <si>
    <t xml:space="preserve">                  Në raport me periudhën krahasuese të hyrat nga tatimi në pronë shënojnë dinamikë më të ngadalshme për 19.83 % . </t>
  </si>
  <si>
    <t xml:space="preserve">Gjobat në trafik për dymbëdhjetë muaj të vitit 2024 arrijnë shumën 1,044,141.50 € dhe në raport me periudhën krahasuese janë </t>
  </si>
  <si>
    <t xml:space="preserve">                 më të larta për 26.75 % . Në shumën e gjithmbarshme të shpenzimeve gjobat në trafik marrin pjesë me 23.44 % .</t>
  </si>
  <si>
    <r>
      <t>Hyrat e  gjithmbarshme arrijnë shumën prej 4,453,780.47 €, cilat janë për 15.77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me të larta me njejten periudhen nga viti paraprak.</t>
    </r>
  </si>
  <si>
    <t xml:space="preserve">Buxheti total për dymbedhjetë muaj të vitit 2024 arrinë shumën prej 43,223,813.68 € dhe është për 5,766,787.68 € më i lartë se buxheti fillestar. </t>
  </si>
  <si>
    <t>Zhvill. Ekon. 320,806.47€, Kultura 12,372.20 €, Arsimi I mesem  27,236.00 €</t>
  </si>
  <si>
    <r>
      <t xml:space="preserve">Kultura (13) 7,855.20 </t>
    </r>
    <r>
      <rPr>
        <sz val="10"/>
        <color theme="1"/>
        <rFont val="Calibri"/>
        <family val="2"/>
      </rPr>
      <t>€</t>
    </r>
    <r>
      <rPr>
        <sz val="10"/>
        <color theme="1"/>
        <rFont val="Arial Narrow"/>
        <family val="2"/>
      </rPr>
      <t xml:space="preserve"> (20) 4,517.00</t>
    </r>
    <r>
      <rPr>
        <sz val="10"/>
        <color theme="1"/>
        <rFont val="Calibri"/>
        <family val="2"/>
      </rPr>
      <t>€</t>
    </r>
    <r>
      <rPr>
        <sz val="10"/>
        <color theme="1"/>
        <rFont val="Arial Narrow"/>
        <family val="2"/>
      </rPr>
      <t xml:space="preserve"> Ar. I mesem (13) 27,236.00 </t>
    </r>
    <r>
      <rPr>
        <sz val="10"/>
        <color theme="1"/>
        <rFont val="Calibri"/>
        <family val="2"/>
      </rPr>
      <t>€</t>
    </r>
  </si>
  <si>
    <t>Mjetet e Grantit qeveritar janë shpenzuar në shumën 34,851,646.81 €  ose 99.80 % .</t>
  </si>
  <si>
    <t xml:space="preserve">                  Në shumën e gjithmbarshme të shpenzimeve pagesat nga ky burim marrin pjesë me 82.06 % .</t>
  </si>
  <si>
    <r>
      <t xml:space="preserve">                  Pasojnë të hyrat vetanake me 11.97 % , të hyrat e bartura nga viti paraprak me 3.31 %, donacionet e jashtme me 2.56 % dhe don.e brend. 0.10 </t>
    </r>
    <r>
      <rPr>
        <sz val="10"/>
        <rFont val="Calibri"/>
        <family val="2"/>
      </rPr>
      <t>%</t>
    </r>
  </si>
  <si>
    <t xml:space="preserve">                   Bartësi kryesor i shpenzimit të buxhetit për periudhën raportuese është drejtorati i arsimit me 40.604%. Pason drejtorati për punë komunale</t>
  </si>
  <si>
    <t>shërbime publike me 21.63 % , drejtorati i shëndetësisë me 11.12 %, , administrata dhe personeli me 7.55 % , drejtorati për buxhet e financa me 3.03 % , etj.</t>
  </si>
  <si>
    <t xml:space="preserve">Pagat dhe meditjet gjatë periudhës raportuese kapin shumën prej 21,108,803.08 € . </t>
  </si>
  <si>
    <t>Në krahasim me periudhën janar - dhjetor të vitit 2023 pagesat për këtë kategori buxhetore shënojnë dinamikë më të lartë për 9.43 %</t>
  </si>
  <si>
    <t>ndërsa , plani për vitin 2024 është realizuar 99.95 % .</t>
  </si>
  <si>
    <t xml:space="preserve">                   Për mallra dhe shërbime janë shpenzuar 5,397,297.74 € ose 12.71 % të shpenzimeve të gjithmbarshme . Në raport me periudhën </t>
  </si>
  <si>
    <t xml:space="preserve">krahasuese dinamika e tyre është më e shpejtë për 20.24 % ndërsa plani vjetor është realizuar 98.63 % . </t>
  </si>
  <si>
    <t xml:space="preserve">njajtat paraqesin 32.69 % të shpenzimeve të gjithmbarshme buxhetore për këtë periudhë. Në fund të periudhës raportuese shpenzimet për investime </t>
  </si>
  <si>
    <t xml:space="preserve">                 Kategoria e pagave dhe meditjeve gjatë periudhës janar-dhjetor të vitit 2024 shënon ritje për 9.42 % në raport me periudhën krahasuese</t>
  </si>
  <si>
    <t>dhe arrinë shumën prej 21,108,803.08 € , duke shënuar realizim të planit vjetor 99.95 % .</t>
  </si>
  <si>
    <t xml:space="preserve">                  Bartës i financimit të shpenzimeve për kategorinë e pagave dhe meditjeve janë mjetet e grantit qeveritar , të cilat shënojnë ritje për 9.98 % </t>
  </si>
  <si>
    <t>në raport me periudhën krahasuese dhe paraqesin 99.98 % nga plani për vitin 2024</t>
  </si>
  <si>
    <t xml:space="preserve">                   Pagat neto përmes listës së pagave paraqesin 65.77 % të shpenzimeve të gjithmbarshme për paga dhe meditje dhe në  krahasim me  </t>
  </si>
  <si>
    <t xml:space="preserve">Pagesa për Vendime Gjyqesore për këtë periudhen raportuese arijnë shumen prej 3,369,750.69 € dhe është për 28.26 % me të larta si në njejten </t>
  </si>
  <si>
    <t xml:space="preserve">periudhen nga viti kaluar dhe paraqet 15.96 % nga shpenzimeve gjithembarshme. </t>
  </si>
  <si>
    <t xml:space="preserve">                  Gjatë periudhës janar - dhjetor të vitit 2024 pagesat për mallra dhe shërbime kapin shumën prej 5,397,297.74 € dhe në raport me </t>
  </si>
  <si>
    <t xml:space="preserve">periudhën krahasuese shënojnë dinamikë më të lartë për 20.24 % ndërsa plani vjetor është realizuar 98.63 %.   </t>
  </si>
  <si>
    <t xml:space="preserve">                   Nga granti qeveritar është bërë financimi i shpenzimeve për mallra dhe shërbime në shumë prej 4,186,873.47 € ose 77.57 % , nga të </t>
  </si>
  <si>
    <r>
      <t xml:space="preserve">hyrat vetanake 912,094.95 € ose 16.90 % , nga fondi 22 janë shpenzuar 25,867.10 € respektivisht 0.48 </t>
    </r>
    <r>
      <rPr>
        <sz val="10"/>
        <color indexed="8"/>
        <rFont val="Calibri"/>
        <family val="2"/>
      </rPr>
      <t xml:space="preserve">%, </t>
    </r>
  </si>
  <si>
    <t xml:space="preserve">Pjesa më e madhe e shpenzimeve ka të bëjë me shpenzimet për shërbime 44.68 % , respektivisht 2,411,280.66, derivatet dhe lëndet </t>
  </si>
  <si>
    <t>djegëse 13.99 % , ose 755,008.10 € , mirëmbajtja me 18.59 % ose 1,003,561.54 € , etj.</t>
  </si>
  <si>
    <t xml:space="preserve">Për Mirëmbajtja e ndërtesave administrative afariste janë shpenzuar 110,777.80 €. Për mirembajtjen autorugeve lokale jane shpenzuar 547,882.28 € </t>
  </si>
  <si>
    <t xml:space="preserve">                             - Drejtorati i administratës dhe personelit me 44.02 % ,</t>
  </si>
  <si>
    <t xml:space="preserve">                             - Drejtorati i arsimit me 17.09 % , </t>
  </si>
  <si>
    <t xml:space="preserve">                             - Drejtorati për punë komunale,shërbime publike me 13.49 % ,etj. </t>
  </si>
  <si>
    <t xml:space="preserve">                  Pagesat për mallra dhe shërbime të drejtorive të lartëcekura përbëjnë 86.16 % të shpenzimeve për këtë kategori buxhetore.</t>
  </si>
  <si>
    <t xml:space="preserve">Shpenzimet e gjithmbarshme buxhetore për dymbëdhjetë muaj të vitit 2024 kapin shumën prej 3,182,448.82 € gjegjësisht  89.97 % më shum se </t>
  </si>
  <si>
    <t xml:space="preserve"> gjatë periudhës së njajtë të vitit paraprak , ndërsa plani për vitin 2024 është realizuar 99.21 % . </t>
  </si>
  <si>
    <t xml:space="preserve">                  Në shumën e gjithmbarshme të shpenzimeve buxhetore pagat dhe meditjet marrin pjesë me 12.04 % .</t>
  </si>
  <si>
    <t xml:space="preserve">                  Në emër të mallrave dhe shërbimeve janë shpenzuar 2,366,761.01 € ose 74.37 % të shpenzimeve të gjithmbarshme .  </t>
  </si>
  <si>
    <t xml:space="preserve">                  Në raport me periudhën krahasuese pagesat për mallra dhe shërbime shënojnë dinamikë më të shpejtë për 131.65 % dhe paraqesin</t>
  </si>
  <si>
    <t xml:space="preserve"> realizim të planit 99.56 % .</t>
  </si>
  <si>
    <t>99.96 % ndërsa në shumën e gjithmbarshme të shpenzimeve marrin pjesë me 3.85 %  .</t>
  </si>
  <si>
    <t xml:space="preserve">                  Burimi kryesor i financimit të investimeve kapitale janë mjetet e grantit qeveritar me 63.15 %, të cilat kapin shumën prej 8,766,870.26 € .</t>
  </si>
  <si>
    <r>
      <t xml:space="preserve">                  Pasojnë të hyrat vetanake me 21.47 % dhe të hyrat vetanake të bartura nga viti paraprak me 9.80 % dhe donacionet e jash. më 5.58 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>.</t>
    </r>
  </si>
  <si>
    <t xml:space="preserve">                  Nga planifikimi i gjithmbarshëm i shpenzimeve për investime kapitale 7,550,071.69 € ose 54.39 % janë realizuar pranë drejtoratit për punë</t>
  </si>
  <si>
    <t>Për ndertesa janë shpenzuar mjete financiare 63.95 % me shumë se gjatë njejten periudhen nga viti paraprak ose 3,644,474.83 € qe është 103.91 % nga plani,</t>
  </si>
  <si>
    <t xml:space="preserve"> ose 26.25 % nga shpenzimeve gjithmbarshme. Ritja ka shenuar të ndërtesat administrative afariste, objektet arsimore, objektet shëndetësore, objektet sportive e tjera.</t>
  </si>
  <si>
    <t xml:space="preserve">Për ndertimin i rrugeve janë shpenzuar 5,441,075.06 € që është 14.83 % me pak së gjate periudhes të njejte nga viti paraprak, plani është realizuar </t>
  </si>
  <si>
    <t>dhe janë për 13.79 % ma pak se në njejten periudhen nga viti paraprak. Për paisje tjera janë shpenzurar 22.98 % ma pak se në njejten periudhen nga viti paraprak</t>
  </si>
  <si>
    <t xml:space="preserve">Për toka, rregullim të lumenjëve, sistemi I ujitjes dhe parqet dhe hapesirat publike gjatë periudhës raportuese janë shpenzuar 1,323,565.36 € ose </t>
  </si>
  <si>
    <t>51.52 % ma pak se në njejten periudhen nga viti paraprak, plani është realizuar 127.82 % dhe permban 9.53 % shpenzimeve gjithmbarshme.</t>
  </si>
  <si>
    <t xml:space="preserve">                  Për pagesa  - Vendime gjyqesore janë shpenzuar 3,118,051.24 € nga kjo kategoria ekonomike dhe është për 23.01 % ma shumë se në</t>
  </si>
  <si>
    <t xml:space="preserve">Shpenzimet e gjithmbarshme buxhetore për dymbëdhjetë muaj të vitit 2024 kapin shumën prej 8,661,250.10 € ose 10.14 % më pak se gjatë </t>
  </si>
  <si>
    <t xml:space="preserve">periudhës së njajtë të vitit paraprak ndërsa ,  plani për vitin 2024 është realizuar 96.30 % . </t>
  </si>
  <si>
    <t xml:space="preserve">                  Në emër të mallrave dhe shërbimeve janë shpenzuar 681,716.80 € ose 7.87 % të shpenzimeve të gjithmbarshme . Në raport me</t>
  </si>
  <si>
    <t xml:space="preserve">                  Në shumën e gjithmbarshme të shpenzimeve pagesat për këtë kategori buxhetore marrin pjesë me 4.62 % , duke realizuar 99.83 % nga </t>
  </si>
  <si>
    <t xml:space="preserve">                 Pagesat për investime kapitale kapin shumën prej 7,455,016.69 € dhe përbëjnë 86.07 % të shpenzimeve buxhetore . </t>
  </si>
  <si>
    <t xml:space="preserve">                 Në raport me periudhën krahasuese dinamika e tyre është më e ngadalshme për për 12.76 % , ndërsa paraqesin 95.74 % nga plani .</t>
  </si>
  <si>
    <t>Shpenzimet e gjithmbarshme buxhetore për dymbëdhjetë muaj të vitit 2024 kapin shumën prej 666,722.18 € ose 36.68 % më shumë se gjatë</t>
  </si>
  <si>
    <t>periudhës së njajtë të vitit paraprak , ndërsa plani për vitin 2024 është realizuar 98.21 %.</t>
  </si>
  <si>
    <t xml:space="preserve"> e gjithmbarshme të shpenzimeve buxhetore pagat dhe meditjet marrin pjesë me 13.07 %.</t>
  </si>
  <si>
    <t>Në shumën e gjithmbarshme të shpenzimeve buxhetore pagesat për mallra dhe shërbime  marrin pjesë me 41.17 %.</t>
  </si>
  <si>
    <t xml:space="preserve">                  Investime kapitale arrijnë shumën prej 205,590.00 € . Në shumën e gjithmbarshme të shpenzimeve buxhetore pagesat për investime</t>
  </si>
  <si>
    <t>kapitale marrin pjesë me 30.84 % dhe janë për 24.36 % më të ulta në raport me periudhën krahasuese.</t>
  </si>
  <si>
    <t xml:space="preserve">                  Shpenzimet e gjithmbarshme buxhetore për dymbëdhjetë muaj të vitit 2024 kapin shumën prej 11,704,349.03 € . </t>
  </si>
  <si>
    <t>Në raport me periudhën janar - dhjetor të vitit 2023, dinamika e shpenzimeve është më e shpejt për 23.14 % .</t>
  </si>
  <si>
    <t xml:space="preserve">                  Pagat dhe meditjet për periudhën raportuese kapin shumën prej 10,890,218.40 € . Në raport me periudhën janar - dhjetor  të vitit 2023</t>
  </si>
  <si>
    <t>pagesat për këtë kategori buxhetore shënojnë dinamikë më të shpejtë për 23.56 % , ndërsa plani për vitin 2024 është realizuar 99.95 %</t>
  </si>
  <si>
    <t xml:space="preserve">                  Në shumën e gjithmbarshme të shpenzimeve buxhetore pagat dhe meditjet marrin pjesë me 93.04 % .</t>
  </si>
  <si>
    <t xml:space="preserve">Shpenzimet për investime kapitale për ketë periudhen raportuese janë 724,138.28 € dhe paraqesin realizimin e planit 95.08 % dhe janë për </t>
  </si>
  <si>
    <t>54.80 % me të mëdha si nga njejta periudhe nga viti paraprak.</t>
  </si>
  <si>
    <t xml:space="preserve">periudhës së njajtë të vitit paraprak, ndërsa plani për vitin 2024 është realizuar 99.71 % . </t>
  </si>
  <si>
    <t>87.05 % nga planifikimi vjetor .</t>
  </si>
  <si>
    <t xml:space="preserve">                  Sipas lartësisë së pjesëmarrjes pasojnë të hyrat nga tatimi në pronë me 42.53 %, respektivisht 2,208,682.69 € , taksa e regjistrimit të automjeteve</t>
  </si>
  <si>
    <t xml:space="preserve">                  Gjatë  periudhës janar-dhjetor të vitit 2024 janë realizuar të hyra vetanake në shumë 5,192,418.69 € respektivisht 2.49 % më pak se</t>
  </si>
  <si>
    <t xml:space="preserve"> gjatë periudhës janar - dhjetor të vitit 2023 ndërsa plani për vitin 2024 është realizuar 96.78 %. </t>
  </si>
  <si>
    <t xml:space="preserve">Të hyrat e gjithmbarshme , në fund të periudhës raportuese , arrijnë shumën 7,520,098.07 € dhe në raport me periudhën krahasuese </t>
  </si>
  <si>
    <t xml:space="preserve">janë më të larta për 13.83 %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</si>
</sst>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;[Red]0"/>
    <numFmt numFmtId="165" formatCode="#,##0.00;[Red]#,##0.00"/>
    <numFmt numFmtId="166" formatCode="#,##0.00\ [$€-1];[Red]\-#,##0.00\ [$€-1]"/>
    <numFmt numFmtId="167" formatCode="0.00;[Red]0.00"/>
    <numFmt numFmtId="168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1"/>
      <color indexed="10"/>
      <name val="Arial Narrow"/>
      <family val="2"/>
    </font>
    <font>
      <sz val="11"/>
      <color indexed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 Narrow"/>
      <family val="2"/>
    </font>
    <font>
      <u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sz val="10"/>
      <color rgb="FFC00000"/>
      <name val="Arial Narrow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7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5" fillId="2" borderId="1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0" fontId="6" fillId="0" borderId="0" xfId="0" applyFont="1"/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12" fontId="5" fillId="0" borderId="11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0" fontId="12" fillId="2" borderId="11" xfId="0" applyNumberFormat="1" applyFont="1" applyFill="1" applyBorder="1" applyAlignment="1">
      <alignment horizontal="right" vertical="center" wrapText="1"/>
    </xf>
    <xf numFmtId="10" fontId="12" fillId="2" borderId="11" xfId="0" applyNumberFormat="1" applyFont="1" applyFill="1" applyBorder="1" applyAlignment="1">
      <alignment horizontal="right" vertical="center"/>
    </xf>
    <xf numFmtId="10" fontId="10" fillId="2" borderId="11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right" vertical="center"/>
    </xf>
    <xf numFmtId="10" fontId="5" fillId="4" borderId="11" xfId="0" applyNumberFormat="1" applyFont="1" applyFill="1" applyBorder="1" applyAlignment="1">
      <alignment horizontal="right" vertical="center" wrapText="1"/>
    </xf>
    <xf numFmtId="10" fontId="9" fillId="4" borderId="11" xfId="0" applyNumberFormat="1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65" fontId="10" fillId="5" borderId="7" xfId="0" applyNumberFormat="1" applyFont="1" applyFill="1" applyBorder="1" applyAlignment="1">
      <alignment horizontal="right" vertical="center"/>
    </xf>
    <xf numFmtId="10" fontId="10" fillId="5" borderId="13" xfId="0" applyNumberFormat="1" applyFont="1" applyFill="1" applyBorder="1" applyAlignment="1">
      <alignment horizontal="right" vertical="center"/>
    </xf>
    <xf numFmtId="10" fontId="10" fillId="5" borderId="11" xfId="0" applyNumberFormat="1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right" vertical="center"/>
    </xf>
    <xf numFmtId="165" fontId="10" fillId="5" borderId="2" xfId="0" applyNumberFormat="1" applyFont="1" applyFill="1" applyBorder="1" applyAlignment="1">
      <alignment horizontal="right" vertical="center"/>
    </xf>
    <xf numFmtId="10" fontId="10" fillId="5" borderId="3" xfId="0" applyNumberFormat="1" applyFont="1" applyFill="1" applyBorder="1" applyAlignment="1">
      <alignment horizontal="right" vertical="center"/>
    </xf>
    <xf numFmtId="10" fontId="10" fillId="5" borderId="2" xfId="0" applyNumberFormat="1" applyFont="1" applyFill="1" applyBorder="1" applyAlignment="1">
      <alignment horizontal="right" vertical="center"/>
    </xf>
    <xf numFmtId="10" fontId="10" fillId="5" borderId="4" xfId="0" applyNumberFormat="1" applyFont="1" applyFill="1" applyBorder="1" applyAlignment="1">
      <alignment horizontal="right" vertical="center"/>
    </xf>
    <xf numFmtId="0" fontId="12" fillId="4" borderId="14" xfId="0" applyFont="1" applyFill="1" applyBorder="1" applyAlignment="1">
      <alignment horizontal="center" vertical="center"/>
    </xf>
    <xf numFmtId="165" fontId="10" fillId="4" borderId="0" xfId="0" applyNumberFormat="1" applyFont="1" applyFill="1" applyAlignment="1">
      <alignment horizontal="right" vertical="center"/>
    </xf>
    <xf numFmtId="165" fontId="10" fillId="4" borderId="15" xfId="0" applyNumberFormat="1" applyFont="1" applyFill="1" applyBorder="1" applyAlignment="1">
      <alignment horizontal="right" vertical="center"/>
    </xf>
    <xf numFmtId="10" fontId="10" fillId="4" borderId="14" xfId="0" applyNumberFormat="1" applyFont="1" applyFill="1" applyBorder="1" applyAlignment="1">
      <alignment horizontal="right" vertical="center"/>
    </xf>
    <xf numFmtId="10" fontId="10" fillId="4" borderId="15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vertical="center"/>
    </xf>
    <xf numFmtId="39" fontId="9" fillId="2" borderId="15" xfId="0" applyNumberFormat="1" applyFont="1" applyFill="1" applyBorder="1" applyAlignment="1">
      <alignment vertical="center"/>
    </xf>
    <xf numFmtId="10" fontId="5" fillId="3" borderId="14" xfId="0" applyNumberFormat="1" applyFont="1" applyFill="1" applyBorder="1" applyAlignment="1">
      <alignment horizontal="right" vertical="center" wrapText="1"/>
    </xf>
    <xf numFmtId="10" fontId="5" fillId="3" borderId="15" xfId="0" applyNumberFormat="1" applyFont="1" applyFill="1" applyBorder="1" applyAlignment="1">
      <alignment horizontal="right" vertical="center"/>
    </xf>
    <xf numFmtId="10" fontId="5" fillId="3" borderId="12" xfId="0" applyNumberFormat="1" applyFont="1" applyFill="1" applyBorder="1" applyAlignment="1">
      <alignment horizontal="right" vertical="center"/>
    </xf>
    <xf numFmtId="10" fontId="5" fillId="2" borderId="14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Alignment="1">
      <alignment vertical="center" wrapText="1"/>
    </xf>
    <xf numFmtId="39" fontId="12" fillId="2" borderId="1" xfId="0" applyNumberFormat="1" applyFont="1" applyFill="1" applyBorder="1" applyAlignment="1">
      <alignment vertical="center" wrapText="1"/>
    </xf>
    <xf numFmtId="39" fontId="12" fillId="2" borderId="8" xfId="0" applyNumberFormat="1" applyFont="1" applyFill="1" applyBorder="1" applyAlignment="1">
      <alignment vertical="center" wrapText="1"/>
    </xf>
    <xf numFmtId="10" fontId="12" fillId="2" borderId="9" xfId="0" applyNumberFormat="1" applyFont="1" applyFill="1" applyBorder="1" applyAlignment="1">
      <alignment horizontal="right" vertical="center" wrapText="1"/>
    </xf>
    <xf numFmtId="10" fontId="12" fillId="2" borderId="8" xfId="0" applyNumberFormat="1" applyFont="1" applyFill="1" applyBorder="1" applyAlignment="1">
      <alignment horizontal="right" vertical="center"/>
    </xf>
    <xf numFmtId="10" fontId="12" fillId="2" borderId="10" xfId="0" applyNumberFormat="1" applyFont="1" applyFill="1" applyBorder="1" applyAlignment="1">
      <alignment horizontal="right" vertical="center" wrapText="1"/>
    </xf>
    <xf numFmtId="0" fontId="10" fillId="5" borderId="8" xfId="0" applyFont="1" applyFill="1" applyBorder="1" applyAlignment="1">
      <alignment horizontal="center" vertical="center"/>
    </xf>
    <xf numFmtId="10" fontId="10" fillId="5" borderId="8" xfId="0" applyNumberFormat="1" applyFont="1" applyFill="1" applyBorder="1" applyAlignment="1">
      <alignment horizontal="right" vertical="center"/>
    </xf>
    <xf numFmtId="165" fontId="9" fillId="2" borderId="11" xfId="0" applyNumberFormat="1" applyFont="1" applyFill="1" applyBorder="1" applyAlignment="1">
      <alignment horizontal="right" vertical="center"/>
    </xf>
    <xf numFmtId="165" fontId="9" fillId="2" borderId="7" xfId="0" applyNumberFormat="1" applyFont="1" applyFill="1" applyBorder="1" applyAlignment="1">
      <alignment horizontal="right" vertical="center"/>
    </xf>
    <xf numFmtId="10" fontId="9" fillId="2" borderId="11" xfId="0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center" vertical="center"/>
    </xf>
    <xf numFmtId="10" fontId="9" fillId="3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vertical="center" wrapText="1"/>
    </xf>
    <xf numFmtId="165" fontId="5" fillId="2" borderId="7" xfId="0" applyNumberFormat="1" applyFont="1" applyFill="1" applyBorder="1" applyAlignment="1">
      <alignment vertical="center" wrapText="1"/>
    </xf>
    <xf numFmtId="10" fontId="5" fillId="3" borderId="11" xfId="0" applyNumberFormat="1" applyFont="1" applyFill="1" applyBorder="1" applyAlignment="1">
      <alignment vertical="center" wrapText="1"/>
    </xf>
    <xf numFmtId="10" fontId="5" fillId="3" borderId="11" xfId="0" applyNumberFormat="1" applyFont="1" applyFill="1" applyBorder="1" applyAlignment="1">
      <alignment vertical="center"/>
    </xf>
    <xf numFmtId="10" fontId="5" fillId="3" borderId="11" xfId="0" applyNumberFormat="1" applyFont="1" applyFill="1" applyBorder="1" applyAlignment="1">
      <alignment horizontal="right" vertical="center" wrapText="1"/>
    </xf>
    <xf numFmtId="10" fontId="5" fillId="3" borderId="11" xfId="0" applyNumberFormat="1" applyFont="1" applyFill="1" applyBorder="1" applyAlignment="1">
      <alignment horizontal="right" vertical="center"/>
    </xf>
    <xf numFmtId="165" fontId="12" fillId="2" borderId="11" xfId="0" applyNumberFormat="1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right" vertical="center" wrapText="1"/>
    </xf>
    <xf numFmtId="165" fontId="5" fillId="2" borderId="11" xfId="0" applyNumberFormat="1" applyFont="1" applyFill="1" applyBorder="1" applyAlignment="1">
      <alignment horizontal="right" vertical="center" wrapText="1"/>
    </xf>
    <xf numFmtId="10" fontId="9" fillId="0" borderId="11" xfId="0" applyNumberFormat="1" applyFont="1" applyBorder="1"/>
    <xf numFmtId="0" fontId="12" fillId="5" borderId="11" xfId="0" applyFont="1" applyFill="1" applyBorder="1" applyAlignment="1">
      <alignment horizontal="center" vertical="center"/>
    </xf>
    <xf numFmtId="165" fontId="10" fillId="5" borderId="11" xfId="0" applyNumberFormat="1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center" vertical="center"/>
    </xf>
    <xf numFmtId="165" fontId="10" fillId="4" borderId="11" xfId="0" applyNumberFormat="1" applyFont="1" applyFill="1" applyBorder="1" applyAlignment="1">
      <alignment horizontal="right" vertical="center"/>
    </xf>
    <xf numFmtId="10" fontId="10" fillId="4" borderId="11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165" fontId="10" fillId="5" borderId="11" xfId="0" applyNumberFormat="1" applyFont="1" applyFill="1" applyBorder="1" applyAlignment="1">
      <alignment vertical="center"/>
    </xf>
    <xf numFmtId="4" fontId="12" fillId="2" borderId="11" xfId="0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right" vertical="center" wrapText="1"/>
    </xf>
    <xf numFmtId="165" fontId="12" fillId="5" borderId="11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65" fontId="10" fillId="2" borderId="11" xfId="0" applyNumberFormat="1" applyFont="1" applyFill="1" applyBorder="1" applyAlignment="1">
      <alignment vertical="center"/>
    </xf>
    <xf numFmtId="10" fontId="10" fillId="0" borderId="11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vertical="center"/>
    </xf>
    <xf numFmtId="10" fontId="10" fillId="0" borderId="2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vertical="center"/>
    </xf>
    <xf numFmtId="165" fontId="10" fillId="4" borderId="11" xfId="0" applyNumberFormat="1" applyFont="1" applyFill="1" applyBorder="1" applyAlignment="1">
      <alignment vertical="center"/>
    </xf>
    <xf numFmtId="165" fontId="10" fillId="2" borderId="7" xfId="0" applyNumberFormat="1" applyFont="1" applyFill="1" applyBorder="1" applyAlignment="1">
      <alignment vertical="center"/>
    </xf>
    <xf numFmtId="10" fontId="9" fillId="0" borderId="11" xfId="0" applyNumberFormat="1" applyFont="1" applyBorder="1" applyAlignment="1">
      <alignment horizontal="right" vertical="center"/>
    </xf>
    <xf numFmtId="165" fontId="10" fillId="2" borderId="2" xfId="0" applyNumberFormat="1" applyFont="1" applyFill="1" applyBorder="1" applyAlignment="1">
      <alignment vertical="center"/>
    </xf>
    <xf numFmtId="10" fontId="12" fillId="3" borderId="11" xfId="0" applyNumberFormat="1" applyFont="1" applyFill="1" applyBorder="1" applyAlignment="1">
      <alignment horizontal="right" vertical="center" wrapText="1"/>
    </xf>
    <xf numFmtId="165" fontId="9" fillId="2" borderId="11" xfId="0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165" fontId="10" fillId="4" borderId="2" xfId="0" applyNumberFormat="1" applyFont="1" applyFill="1" applyBorder="1" applyAlignment="1">
      <alignment vertical="center"/>
    </xf>
    <xf numFmtId="10" fontId="10" fillId="4" borderId="2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65" fontId="9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0" fontId="12" fillId="3" borderId="11" xfId="0" applyNumberFormat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/>
    </xf>
    <xf numFmtId="165" fontId="10" fillId="5" borderId="2" xfId="0" applyNumberFormat="1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10" fontId="10" fillId="5" borderId="11" xfId="0" applyNumberFormat="1" applyFont="1" applyFill="1" applyBorder="1" applyAlignment="1">
      <alignment vertical="center"/>
    </xf>
    <xf numFmtId="165" fontId="9" fillId="0" borderId="0" xfId="0" applyNumberFormat="1" applyFont="1"/>
    <xf numFmtId="0" fontId="9" fillId="0" borderId="0" xfId="0" applyFont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5" fontId="10" fillId="2" borderId="11" xfId="0" applyNumberFormat="1" applyFont="1" applyFill="1" applyBorder="1" applyAlignment="1">
      <alignment horizontal="right" vertical="center" wrapText="1"/>
    </xf>
    <xf numFmtId="10" fontId="5" fillId="0" borderId="11" xfId="0" applyNumberFormat="1" applyFont="1" applyBorder="1" applyAlignment="1">
      <alignment horizontal="right" vertical="center"/>
    </xf>
    <xf numFmtId="0" fontId="12" fillId="5" borderId="6" xfId="0" applyFont="1" applyFill="1" applyBorder="1" applyAlignment="1">
      <alignment vertical="center" wrapText="1"/>
    </xf>
    <xf numFmtId="10" fontId="12" fillId="5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10" fontId="5" fillId="2" borderId="11" xfId="0" applyNumberFormat="1" applyFont="1" applyFill="1" applyBorder="1" applyAlignment="1">
      <alignment horizontal="right" vertical="center" wrapText="1"/>
    </xf>
    <xf numFmtId="10" fontId="5" fillId="2" borderId="11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vertical="center" wrapText="1"/>
    </xf>
    <xf numFmtId="0" fontId="12" fillId="5" borderId="11" xfId="0" applyFont="1" applyFill="1" applyBorder="1" applyAlignment="1">
      <alignment horizontal="center" vertical="center" wrapText="1"/>
    </xf>
    <xf numFmtId="4" fontId="12" fillId="5" borderId="11" xfId="0" applyNumberFormat="1" applyFont="1" applyFill="1" applyBorder="1" applyAlignment="1">
      <alignment horizontal="right" vertical="center" wrapText="1"/>
    </xf>
    <xf numFmtId="10" fontId="12" fillId="5" borderId="1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5" fillId="4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4" fontId="12" fillId="5" borderId="11" xfId="0" applyNumberFormat="1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4" fontId="12" fillId="3" borderId="0" xfId="0" applyNumberFormat="1" applyFont="1" applyFill="1" applyAlignment="1">
      <alignment vertical="center" wrapText="1"/>
    </xf>
    <xf numFmtId="10" fontId="12" fillId="3" borderId="0" xfId="0" applyNumberFormat="1" applyFont="1" applyFill="1" applyAlignment="1">
      <alignment vertical="center" wrapText="1"/>
    </xf>
    <xf numFmtId="10" fontId="12" fillId="3" borderId="0" xfId="0" applyNumberFormat="1" applyFont="1" applyFill="1" applyAlignment="1">
      <alignment horizontal="right"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10" fontId="5" fillId="2" borderId="11" xfId="0" applyNumberFormat="1" applyFont="1" applyFill="1" applyBorder="1" applyAlignment="1">
      <alignment vertical="center" wrapText="1"/>
    </xf>
    <xf numFmtId="4" fontId="12" fillId="5" borderId="7" xfId="0" applyNumberFormat="1" applyFont="1" applyFill="1" applyBorder="1" applyAlignment="1">
      <alignment vertical="center" wrapText="1"/>
    </xf>
    <xf numFmtId="10" fontId="12" fillId="5" borderId="11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4" fontId="12" fillId="2" borderId="0" xfId="0" applyNumberFormat="1" applyFont="1" applyFill="1" applyAlignment="1">
      <alignment vertical="center" wrapText="1"/>
    </xf>
    <xf numFmtId="10" fontId="12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10" fontId="12" fillId="5" borderId="11" xfId="0" applyNumberFormat="1" applyFont="1" applyFill="1" applyBorder="1" applyAlignment="1">
      <alignment vertical="center"/>
    </xf>
    <xf numFmtId="12" fontId="5" fillId="0" borderId="8" xfId="0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43" fontId="5" fillId="2" borderId="11" xfId="1" applyFont="1" applyFill="1" applyBorder="1" applyAlignment="1">
      <alignment vertical="center"/>
    </xf>
    <xf numFmtId="167" fontId="10" fillId="5" borderId="11" xfId="0" applyNumberFormat="1" applyFont="1" applyFill="1" applyBorder="1" applyAlignment="1">
      <alignment horizontal="center" vertical="center"/>
    </xf>
    <xf numFmtId="10" fontId="10" fillId="5" borderId="11" xfId="0" applyNumberFormat="1" applyFont="1" applyFill="1" applyBorder="1" applyAlignment="1">
      <alignment horizontal="right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right" vertical="center"/>
    </xf>
    <xf numFmtId="4" fontId="9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65" fontId="12" fillId="2" borderId="0" xfId="0" applyNumberFormat="1" applyFont="1" applyFill="1" applyAlignment="1">
      <alignment vertical="center" wrapText="1"/>
    </xf>
    <xf numFmtId="10" fontId="12" fillId="2" borderId="0" xfId="0" applyNumberFormat="1" applyFont="1" applyFill="1" applyAlignment="1">
      <alignment horizontal="right" vertical="center" wrapText="1"/>
    </xf>
    <xf numFmtId="10" fontId="12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4" fontId="5" fillId="2" borderId="2" xfId="0" applyNumberFormat="1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9" fillId="0" borderId="7" xfId="0" applyFont="1" applyBorder="1"/>
    <xf numFmtId="4" fontId="12" fillId="5" borderId="11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  <xf numFmtId="4" fontId="12" fillId="5" borderId="7" xfId="0" applyNumberFormat="1" applyFont="1" applyFill="1" applyBorder="1" applyAlignment="1">
      <alignment horizontal="right" vertical="center" wrapText="1"/>
    </xf>
    <xf numFmtId="4" fontId="5" fillId="3" borderId="7" xfId="0" applyNumberFormat="1" applyFont="1" applyFill="1" applyBorder="1"/>
    <xf numFmtId="4" fontId="12" fillId="5" borderId="7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/>
    </xf>
    <xf numFmtId="4" fontId="12" fillId="5" borderId="11" xfId="0" applyNumberFormat="1" applyFont="1" applyFill="1" applyBorder="1" applyAlignment="1">
      <alignment vertical="center"/>
    </xf>
    <xf numFmtId="10" fontId="5" fillId="3" borderId="2" xfId="0" applyNumberFormat="1" applyFont="1" applyFill="1" applyBorder="1" applyAlignment="1">
      <alignment horizontal="right" vertical="center" wrapText="1"/>
    </xf>
    <xf numFmtId="10" fontId="5" fillId="3" borderId="2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65" fontId="9" fillId="2" borderId="11" xfId="0" applyNumberFormat="1" applyFont="1" applyFill="1" applyBorder="1"/>
    <xf numFmtId="0" fontId="14" fillId="0" borderId="0" xfId="0" applyFont="1"/>
    <xf numFmtId="0" fontId="5" fillId="2" borderId="6" xfId="0" applyFont="1" applyFill="1" applyBorder="1" applyAlignment="1">
      <alignment horizontal="right" vertical="center"/>
    </xf>
    <xf numFmtId="4" fontId="9" fillId="0" borderId="0" xfId="0" applyNumberFormat="1" applyFont="1"/>
    <xf numFmtId="0" fontId="12" fillId="0" borderId="0" xfId="0" applyFont="1" applyAlignment="1">
      <alignment horizontal="left" vertical="center"/>
    </xf>
    <xf numFmtId="0" fontId="12" fillId="5" borderId="6" xfId="0" applyFont="1" applyFill="1" applyBorder="1" applyAlignment="1">
      <alignment horizontal="center" vertical="center" wrapText="1"/>
    </xf>
    <xf numFmtId="165" fontId="12" fillId="5" borderId="7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vertical="center" wrapText="1"/>
    </xf>
    <xf numFmtId="10" fontId="5" fillId="3" borderId="0" xfId="0" applyNumberFormat="1" applyFont="1" applyFill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10" fontId="5" fillId="3" borderId="7" xfId="0" applyNumberFormat="1" applyFont="1" applyFill="1" applyBorder="1" applyAlignment="1">
      <alignment horizontal="right" vertical="center"/>
    </xf>
    <xf numFmtId="10" fontId="12" fillId="5" borderId="7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2" fontId="5" fillId="2" borderId="1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10" fontId="5" fillId="3" borderId="3" xfId="0" applyNumberFormat="1" applyFont="1" applyFill="1" applyBorder="1" applyAlignment="1">
      <alignment horizontal="right" vertical="center" wrapText="1"/>
    </xf>
    <xf numFmtId="10" fontId="5" fillId="3" borderId="4" xfId="0" applyNumberFormat="1" applyFont="1" applyFill="1" applyBorder="1" applyAlignment="1">
      <alignment horizontal="right" vertical="center"/>
    </xf>
    <xf numFmtId="4" fontId="5" fillId="2" borderId="14" xfId="0" applyNumberFormat="1" applyFont="1" applyFill="1" applyBorder="1" applyAlignment="1">
      <alignment horizontal="right" vertical="center" wrapText="1"/>
    </xf>
    <xf numFmtId="10" fontId="5" fillId="3" borderId="8" xfId="0" applyNumberFormat="1" applyFont="1" applyFill="1" applyBorder="1" applyAlignment="1">
      <alignment horizontal="right" vertical="center" wrapText="1"/>
    </xf>
    <xf numFmtId="10" fontId="5" fillId="2" borderId="8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10" fontId="5" fillId="2" borderId="5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10" fontId="5" fillId="3" borderId="5" xfId="0" applyNumberFormat="1" applyFont="1" applyFill="1" applyBorder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 wrapText="1"/>
    </xf>
    <xf numFmtId="10" fontId="12" fillId="3" borderId="0" xfId="0" applyNumberFormat="1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10" fontId="5" fillId="3" borderId="15" xfId="0" applyNumberFormat="1" applyFont="1" applyFill="1" applyBorder="1" applyAlignment="1">
      <alignment horizontal="right" vertical="center" wrapText="1"/>
    </xf>
    <xf numFmtId="10" fontId="5" fillId="2" borderId="15" xfId="0" applyNumberFormat="1" applyFont="1" applyFill="1" applyBorder="1" applyAlignment="1">
      <alignment horizontal="right" vertical="center" wrapText="1"/>
    </xf>
    <xf numFmtId="10" fontId="12" fillId="2" borderId="8" xfId="0" applyNumberFormat="1" applyFont="1" applyFill="1" applyBorder="1" applyAlignment="1">
      <alignment horizontal="right" vertical="center" wrapText="1"/>
    </xf>
    <xf numFmtId="10" fontId="12" fillId="3" borderId="15" xfId="0" applyNumberFormat="1" applyFont="1" applyFill="1" applyBorder="1" applyAlignment="1">
      <alignment horizontal="right" vertical="center"/>
    </xf>
    <xf numFmtId="10" fontId="12" fillId="3" borderId="1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5" fillId="0" borderId="0" xfId="0" applyFont="1"/>
    <xf numFmtId="0" fontId="5" fillId="6" borderId="1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10" fontId="12" fillId="7" borderId="11" xfId="0" applyNumberFormat="1" applyFont="1" applyFill="1" applyBorder="1" applyAlignment="1">
      <alignment horizontal="right" vertical="center" wrapText="1"/>
    </xf>
    <xf numFmtId="10" fontId="12" fillId="7" borderId="11" xfId="0" applyNumberFormat="1" applyFont="1" applyFill="1" applyBorder="1" applyAlignment="1">
      <alignment vertical="center"/>
    </xf>
    <xf numFmtId="10" fontId="12" fillId="7" borderId="11" xfId="0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wrapText="1"/>
    </xf>
    <xf numFmtId="43" fontId="12" fillId="3" borderId="0" xfId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5" borderId="10" xfId="0" applyFont="1" applyFill="1" applyBorder="1" applyAlignment="1">
      <alignment horizontal="center" vertical="center"/>
    </xf>
    <xf numFmtId="10" fontId="5" fillId="2" borderId="11" xfId="0" applyNumberFormat="1" applyFont="1" applyFill="1" applyBorder="1" applyAlignment="1">
      <alignment vertical="center"/>
    </xf>
    <xf numFmtId="165" fontId="12" fillId="3" borderId="7" xfId="0" applyNumberFormat="1" applyFont="1" applyFill="1" applyBorder="1" applyAlignment="1">
      <alignment vertical="center" wrapText="1"/>
    </xf>
    <xf numFmtId="165" fontId="12" fillId="2" borderId="0" xfId="1" applyNumberFormat="1" applyFont="1" applyFill="1" applyBorder="1" applyAlignment="1">
      <alignment horizontal="right" vertical="center" wrapText="1"/>
    </xf>
    <xf numFmtId="10" fontId="12" fillId="2" borderId="0" xfId="0" applyNumberFormat="1" applyFont="1" applyFill="1" applyAlignment="1">
      <alignment vertical="center"/>
    </xf>
    <xf numFmtId="10" fontId="5" fillId="3" borderId="6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vertical="center" wrapText="1"/>
    </xf>
    <xf numFmtId="165" fontId="9" fillId="2" borderId="7" xfId="0" applyNumberFormat="1" applyFont="1" applyFill="1" applyBorder="1" applyAlignment="1">
      <alignment horizontal="right" vertical="center" wrapText="1"/>
    </xf>
    <xf numFmtId="43" fontId="12" fillId="2" borderId="0" xfId="1" applyFont="1" applyFill="1" applyBorder="1" applyAlignment="1">
      <alignment horizontal="right" vertical="center" wrapText="1"/>
    </xf>
    <xf numFmtId="39" fontId="12" fillId="2" borderId="0" xfId="1" applyNumberFormat="1" applyFont="1" applyFill="1" applyBorder="1" applyAlignment="1">
      <alignment horizontal="right" vertical="center" wrapText="1"/>
    </xf>
    <xf numFmtId="39" fontId="5" fillId="2" borderId="11" xfId="0" applyNumberFormat="1" applyFont="1" applyFill="1" applyBorder="1" applyAlignment="1">
      <alignment vertical="center" wrapText="1"/>
    </xf>
    <xf numFmtId="10" fontId="10" fillId="5" borderId="11" xfId="0" applyNumberFormat="1" applyFont="1" applyFill="1" applyBorder="1" applyAlignment="1">
      <alignment vertical="center" wrapText="1"/>
    </xf>
    <xf numFmtId="2" fontId="10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0" fontId="12" fillId="5" borderId="8" xfId="0" applyNumberFormat="1" applyFont="1" applyFill="1" applyBorder="1" applyAlignment="1">
      <alignment horizontal="right" vertical="center" wrapText="1"/>
    </xf>
    <xf numFmtId="10" fontId="12" fillId="5" borderId="8" xfId="0" applyNumberFormat="1" applyFont="1" applyFill="1" applyBorder="1" applyAlignment="1">
      <alignment horizontal="right" vertical="center"/>
    </xf>
    <xf numFmtId="10" fontId="12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43" fontId="12" fillId="3" borderId="0" xfId="1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horizontal="right"/>
    </xf>
    <xf numFmtId="0" fontId="5" fillId="6" borderId="15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165" fontId="9" fillId="2" borderId="4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39" fontId="9" fillId="2" borderId="0" xfId="0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10" fillId="7" borderId="0" xfId="0" applyFont="1" applyFill="1" applyAlignment="1">
      <alignment vertical="center"/>
    </xf>
    <xf numFmtId="10" fontId="10" fillId="7" borderId="0" xfId="0" applyNumberFormat="1" applyFont="1" applyFill="1" applyAlignment="1">
      <alignment horizontal="right" vertical="center"/>
    </xf>
    <xf numFmtId="0" fontId="5" fillId="4" borderId="7" xfId="0" applyFont="1" applyFill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10" fontId="10" fillId="0" borderId="11" xfId="0" applyNumberFormat="1" applyFont="1" applyBorder="1" applyAlignment="1">
      <alignment horizontal="right"/>
    </xf>
    <xf numFmtId="10" fontId="9" fillId="0" borderId="11" xfId="0" applyNumberFormat="1" applyFont="1" applyBorder="1" applyAlignment="1">
      <alignment horizontal="right"/>
    </xf>
    <xf numFmtId="0" fontId="5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165" fontId="10" fillId="2" borderId="11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165" fontId="12" fillId="2" borderId="7" xfId="0" applyNumberFormat="1" applyFont="1" applyFill="1" applyBorder="1" applyAlignment="1">
      <alignment vertical="center" wrapText="1"/>
    </xf>
    <xf numFmtId="10" fontId="5" fillId="8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vertical="center"/>
    </xf>
    <xf numFmtId="0" fontId="16" fillId="0" borderId="0" xfId="0" applyFont="1"/>
    <xf numFmtId="0" fontId="4" fillId="2" borderId="0" xfId="0" applyFont="1" applyFill="1" applyAlignment="1">
      <alignment vertical="center"/>
    </xf>
    <xf numFmtId="12" fontId="5" fillId="0" borderId="6" xfId="0" applyNumberFormat="1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10" fontId="12" fillId="3" borderId="7" xfId="0" applyNumberFormat="1" applyFont="1" applyFill="1" applyBorder="1" applyAlignment="1">
      <alignment horizontal="right" vertical="center"/>
    </xf>
    <xf numFmtId="10" fontId="12" fillId="2" borderId="7" xfId="0" applyNumberFormat="1" applyFont="1" applyFill="1" applyBorder="1" applyAlignment="1">
      <alignment horizontal="right" vertical="center"/>
    </xf>
    <xf numFmtId="165" fontId="12" fillId="5" borderId="11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right" vertical="center" wrapText="1"/>
    </xf>
    <xf numFmtId="1" fontId="10" fillId="5" borderId="11" xfId="0" applyNumberFormat="1" applyFont="1" applyFill="1" applyBorder="1" applyAlignment="1">
      <alignment horizontal="right" vertical="center"/>
    </xf>
    <xf numFmtId="0" fontId="10" fillId="5" borderId="11" xfId="0" applyFont="1" applyFill="1" applyBorder="1" applyAlignment="1">
      <alignment horizontal="right" vertical="center"/>
    </xf>
    <xf numFmtId="49" fontId="10" fillId="5" borderId="11" xfId="0" applyNumberFormat="1" applyFont="1" applyFill="1" applyBorder="1" applyAlignment="1">
      <alignment horizontal="right" vertical="center"/>
    </xf>
    <xf numFmtId="49" fontId="10" fillId="5" borderId="7" xfId="0" applyNumberFormat="1" applyFont="1" applyFill="1" applyBorder="1" applyAlignment="1">
      <alignment horizontal="right" vertical="center"/>
    </xf>
    <xf numFmtId="0" fontId="12" fillId="5" borderId="11" xfId="0" applyFont="1" applyFill="1" applyBorder="1" applyAlignment="1">
      <alignment vertical="center" wrapText="1"/>
    </xf>
    <xf numFmtId="4" fontId="5" fillId="5" borderId="7" xfId="0" applyNumberFormat="1" applyFont="1" applyFill="1" applyBorder="1" applyAlignment="1">
      <alignment vertical="center" wrapText="1"/>
    </xf>
    <xf numFmtId="10" fontId="5" fillId="5" borderId="11" xfId="0" applyNumberFormat="1" applyFont="1" applyFill="1" applyBorder="1" applyAlignment="1">
      <alignment horizontal="right" vertical="center" wrapText="1"/>
    </xf>
    <xf numFmtId="10" fontId="5" fillId="5" borderId="11" xfId="0" applyNumberFormat="1" applyFont="1" applyFill="1" applyBorder="1" applyAlignment="1">
      <alignment horizontal="right" vertical="center"/>
    </xf>
    <xf numFmtId="10" fontId="9" fillId="5" borderId="11" xfId="0" applyNumberFormat="1" applyFont="1" applyFill="1" applyBorder="1" applyAlignment="1">
      <alignment horizontal="right" vertical="center"/>
    </xf>
    <xf numFmtId="4" fontId="5" fillId="5" borderId="11" xfId="0" applyNumberFormat="1" applyFont="1" applyFill="1" applyBorder="1" applyAlignment="1">
      <alignment vertical="center" wrapText="1"/>
    </xf>
    <xf numFmtId="4" fontId="9" fillId="5" borderId="11" xfId="0" applyNumberFormat="1" applyFont="1" applyFill="1" applyBorder="1" applyAlignment="1">
      <alignment vertical="center" wrapText="1"/>
    </xf>
    <xf numFmtId="10" fontId="9" fillId="5" borderId="11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" fontId="5" fillId="5" borderId="7" xfId="0" applyNumberFormat="1" applyFont="1" applyFill="1" applyBorder="1" applyAlignment="1">
      <alignment horizontal="right" vertical="center" wrapText="1"/>
    </xf>
    <xf numFmtId="4" fontId="5" fillId="5" borderId="6" xfId="0" applyNumberFormat="1" applyFont="1" applyFill="1" applyBorder="1" applyAlignment="1">
      <alignment wrapText="1"/>
    </xf>
    <xf numFmtId="4" fontId="5" fillId="5" borderId="10" xfId="0" applyNumberFormat="1" applyFont="1" applyFill="1" applyBorder="1" applyAlignment="1">
      <alignment vertical="center" wrapText="1"/>
    </xf>
    <xf numFmtId="4" fontId="9" fillId="5" borderId="7" xfId="0" applyNumberFormat="1" applyFont="1" applyFill="1" applyBorder="1" applyAlignment="1">
      <alignment vertical="center" wrapText="1"/>
    </xf>
    <xf numFmtId="165" fontId="14" fillId="5" borderId="11" xfId="0" applyNumberFormat="1" applyFont="1" applyFill="1" applyBorder="1"/>
    <xf numFmtId="10" fontId="14" fillId="5" borderId="11" xfId="0" applyNumberFormat="1" applyFont="1" applyFill="1" applyBorder="1" applyAlignment="1">
      <alignment horizontal="right"/>
    </xf>
    <xf numFmtId="165" fontId="14" fillId="2" borderId="11" xfId="0" applyNumberFormat="1" applyFont="1" applyFill="1" applyBorder="1"/>
    <xf numFmtId="10" fontId="14" fillId="2" borderId="11" xfId="0" applyNumberFormat="1" applyFont="1" applyFill="1" applyBorder="1" applyAlignment="1">
      <alignment horizontal="right"/>
    </xf>
    <xf numFmtId="10" fontId="11" fillId="2" borderId="11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right" vertical="center"/>
    </xf>
    <xf numFmtId="4" fontId="5" fillId="5" borderId="11" xfId="0" applyNumberFormat="1" applyFont="1" applyFill="1" applyBorder="1" applyAlignment="1">
      <alignment horizontal="right" vertical="center" wrapText="1"/>
    </xf>
    <xf numFmtId="4" fontId="9" fillId="5" borderId="11" xfId="0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wrapText="1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4" fontId="9" fillId="2" borderId="13" xfId="0" applyNumberFormat="1" applyFont="1" applyFill="1" applyBorder="1" applyAlignment="1">
      <alignment vertical="center" wrapText="1"/>
    </xf>
    <xf numFmtId="39" fontId="12" fillId="2" borderId="10" xfId="0" applyNumberFormat="1" applyFont="1" applyFill="1" applyBorder="1" applyAlignment="1">
      <alignment vertical="center" wrapText="1"/>
    </xf>
    <xf numFmtId="39" fontId="9" fillId="2" borderId="2" xfId="0" applyNumberFormat="1" applyFont="1" applyFill="1" applyBorder="1" applyAlignment="1">
      <alignment vertical="center"/>
    </xf>
    <xf numFmtId="39" fontId="9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166" fontId="5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4" fontId="12" fillId="5" borderId="8" xfId="0" applyNumberFormat="1" applyFont="1" applyFill="1" applyBorder="1" applyAlignment="1">
      <alignment vertical="center" wrapText="1"/>
    </xf>
    <xf numFmtId="4" fontId="10" fillId="5" borderId="11" xfId="0" applyNumberFormat="1" applyFont="1" applyFill="1" applyBorder="1" applyAlignment="1">
      <alignment vertical="center" wrapText="1"/>
    </xf>
    <xf numFmtId="4" fontId="5" fillId="2" borderId="11" xfId="0" applyNumberFormat="1" applyFont="1" applyFill="1" applyBorder="1" applyAlignment="1">
      <alignment vertical="center"/>
    </xf>
    <xf numFmtId="0" fontId="12" fillId="5" borderId="6" xfId="0" applyFont="1" applyFill="1" applyBorder="1" applyAlignment="1">
      <alignment horizontal="right" vertical="center"/>
    </xf>
    <xf numFmtId="4" fontId="10" fillId="5" borderId="7" xfId="0" applyNumberFormat="1" applyFont="1" applyFill="1" applyBorder="1" applyAlignment="1">
      <alignment vertical="center" wrapText="1"/>
    </xf>
    <xf numFmtId="0" fontId="20" fillId="0" borderId="0" xfId="0" applyFont="1"/>
    <xf numFmtId="0" fontId="14" fillId="2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horizontal="right" vertical="center" wrapText="1"/>
    </xf>
    <xf numFmtId="49" fontId="5" fillId="2" borderId="7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 wrapText="1"/>
    </xf>
    <xf numFmtId="10" fontId="10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right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39" fontId="12" fillId="5" borderId="5" xfId="1" applyNumberFormat="1" applyFont="1" applyFill="1" applyBorder="1" applyAlignment="1">
      <alignment horizontal="right" vertical="center" wrapText="1"/>
    </xf>
    <xf numFmtId="10" fontId="12" fillId="5" borderId="0" xfId="0" applyNumberFormat="1" applyFont="1" applyFill="1" applyAlignment="1">
      <alignment vertical="center" wrapText="1"/>
    </xf>
    <xf numFmtId="10" fontId="12" fillId="5" borderId="0" xfId="0" applyNumberFormat="1" applyFont="1" applyFill="1" applyAlignment="1">
      <alignment horizontal="right" vertical="center"/>
    </xf>
    <xf numFmtId="10" fontId="12" fillId="5" borderId="0" xfId="0" applyNumberFormat="1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19" fillId="0" borderId="0" xfId="0" applyFont="1"/>
    <xf numFmtId="4" fontId="5" fillId="2" borderId="0" xfId="0" applyNumberFormat="1" applyFont="1" applyFill="1" applyAlignment="1">
      <alignment horizontal="right" vertical="center"/>
    </xf>
    <xf numFmtId="4" fontId="5" fillId="2" borderId="0" xfId="0" applyNumberFormat="1" applyFont="1" applyFill="1" applyAlignment="1">
      <alignment horizontal="right" vertical="center" wrapText="1"/>
    </xf>
    <xf numFmtId="165" fontId="9" fillId="2" borderId="0" xfId="0" applyNumberFormat="1" applyFont="1" applyFill="1"/>
    <xf numFmtId="10" fontId="5" fillId="2" borderId="0" xfId="0" applyNumberFormat="1" applyFont="1" applyFill="1" applyAlignment="1">
      <alignment horizontal="right" vertical="center" wrapText="1"/>
    </xf>
    <xf numFmtId="10" fontId="9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/>
    </xf>
    <xf numFmtId="0" fontId="10" fillId="0" borderId="0" xfId="3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4" fontId="19" fillId="0" borderId="0" xfId="0" applyNumberFormat="1" applyFont="1"/>
    <xf numFmtId="4" fontId="11" fillId="0" borderId="0" xfId="0" applyNumberFormat="1" applyFont="1"/>
    <xf numFmtId="165" fontId="11" fillId="0" borderId="0" xfId="0" applyNumberFormat="1" applyFont="1"/>
    <xf numFmtId="39" fontId="11" fillId="0" borderId="0" xfId="0" applyNumberFormat="1" applyFont="1"/>
    <xf numFmtId="4" fontId="12" fillId="2" borderId="6" xfId="0" applyNumberFormat="1" applyFont="1" applyFill="1" applyBorder="1" applyAlignment="1">
      <alignment horizontal="right" vertical="center" wrapText="1"/>
    </xf>
    <xf numFmtId="166" fontId="12" fillId="2" borderId="0" xfId="0" applyNumberFormat="1" applyFont="1" applyFill="1" applyAlignment="1">
      <alignment horizontal="righ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5" fontId="10" fillId="2" borderId="4" xfId="0" applyNumberFormat="1" applyFont="1" applyFill="1" applyBorder="1" applyAlignment="1">
      <alignment vertical="center"/>
    </xf>
    <xf numFmtId="10" fontId="12" fillId="3" borderId="2" xfId="0" applyNumberFormat="1" applyFont="1" applyFill="1" applyBorder="1" applyAlignment="1">
      <alignment horizontal="right" vertical="center" wrapText="1"/>
    </xf>
    <xf numFmtId="10" fontId="12" fillId="3" borderId="2" xfId="0" applyNumberFormat="1" applyFont="1" applyFill="1" applyBorder="1" applyAlignment="1">
      <alignment horizontal="right" vertical="center"/>
    </xf>
    <xf numFmtId="4" fontId="14" fillId="2" borderId="11" xfId="0" applyNumberFormat="1" applyFont="1" applyFill="1" applyBorder="1" applyAlignment="1">
      <alignment vertical="center" wrapText="1"/>
    </xf>
    <xf numFmtId="43" fontId="0" fillId="0" borderId="0" xfId="1" applyFont="1"/>
    <xf numFmtId="43" fontId="19" fillId="0" borderId="0" xfId="0" applyNumberFormat="1" applyFont="1"/>
    <xf numFmtId="0" fontId="14" fillId="2" borderId="0" xfId="0" applyFont="1" applyFill="1" applyAlignment="1">
      <alignment horizontal="left"/>
    </xf>
    <xf numFmtId="165" fontId="10" fillId="5" borderId="1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4" fontId="10" fillId="5" borderId="8" xfId="0" applyNumberFormat="1" applyFont="1" applyFill="1" applyBorder="1" applyAlignment="1">
      <alignment vertical="center" wrapText="1"/>
    </xf>
    <xf numFmtId="4" fontId="10" fillId="5" borderId="11" xfId="0" applyNumberFormat="1" applyFont="1" applyFill="1" applyBorder="1" applyAlignment="1">
      <alignment horizontal="right" vertical="center" wrapText="1"/>
    </xf>
    <xf numFmtId="4" fontId="10" fillId="5" borderId="7" xfId="0" applyNumberFormat="1" applyFont="1" applyFill="1" applyBorder="1" applyAlignment="1">
      <alignment horizontal="right" vertical="center" wrapText="1"/>
    </xf>
    <xf numFmtId="4" fontId="23" fillId="2" borderId="6" xfId="0" applyNumberFormat="1" applyFont="1" applyFill="1" applyBorder="1" applyAlignment="1">
      <alignment horizontal="right" vertical="center" wrapText="1"/>
    </xf>
    <xf numFmtId="4" fontId="24" fillId="2" borderId="6" xfId="0" applyNumberFormat="1" applyFont="1" applyFill="1" applyBorder="1" applyAlignment="1">
      <alignment horizontal="right" vertical="center" wrapText="1"/>
    </xf>
    <xf numFmtId="4" fontId="24" fillId="2" borderId="11" xfId="0" applyNumberFormat="1" applyFont="1" applyFill="1" applyBorder="1" applyAlignment="1">
      <alignment vertical="center" wrapText="1"/>
    </xf>
    <xf numFmtId="4" fontId="15" fillId="2" borderId="11" xfId="0" applyNumberFormat="1" applyFont="1" applyFill="1" applyBorder="1" applyAlignment="1">
      <alignment vertical="center" wrapText="1"/>
    </xf>
    <xf numFmtId="4" fontId="15" fillId="2" borderId="11" xfId="0" applyNumberFormat="1" applyFont="1" applyFill="1" applyBorder="1" applyAlignment="1">
      <alignment horizontal="right" vertical="center" wrapText="1"/>
    </xf>
    <xf numFmtId="4" fontId="15" fillId="5" borderId="11" xfId="0" applyNumberFormat="1" applyFont="1" applyFill="1" applyBorder="1" applyAlignment="1">
      <alignment vertical="center" wrapText="1"/>
    </xf>
    <xf numFmtId="39" fontId="15" fillId="7" borderId="0" xfId="0" applyNumberFormat="1" applyFont="1" applyFill="1" applyAlignment="1">
      <alignment horizontal="right" vertical="center"/>
    </xf>
    <xf numFmtId="165" fontId="15" fillId="5" borderId="11" xfId="0" applyNumberFormat="1" applyFont="1" applyFill="1" applyBorder="1" applyAlignment="1">
      <alignment vertical="center"/>
    </xf>
    <xf numFmtId="40" fontId="9" fillId="2" borderId="11" xfId="0" applyNumberFormat="1" applyFont="1" applyFill="1" applyBorder="1" applyAlignment="1">
      <alignment horizontal="right" vertical="center" wrapText="1"/>
    </xf>
    <xf numFmtId="40" fontId="14" fillId="2" borderId="11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166" fontId="14" fillId="2" borderId="0" xfId="0" applyNumberFormat="1" applyFont="1" applyFill="1" applyAlignment="1">
      <alignment vertical="center"/>
    </xf>
    <xf numFmtId="0" fontId="26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6" fontId="14" fillId="2" borderId="0" xfId="0" applyNumberFormat="1" applyFont="1" applyFill="1" applyAlignment="1">
      <alignment horizontal="right" vertical="center"/>
    </xf>
    <xf numFmtId="0" fontId="15" fillId="0" borderId="0" xfId="0" applyFont="1" applyAlignment="1">
      <alignment vertical="center" wrapText="1"/>
    </xf>
    <xf numFmtId="166" fontId="15" fillId="2" borderId="0" xfId="0" applyNumberFormat="1" applyFont="1" applyFill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165" fontId="14" fillId="2" borderId="6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165" fontId="14" fillId="2" borderId="7" xfId="0" applyNumberFormat="1" applyFont="1" applyFill="1" applyBorder="1" applyAlignment="1">
      <alignment horizontal="right" vertical="center"/>
    </xf>
    <xf numFmtId="165" fontId="14" fillId="2" borderId="7" xfId="0" applyNumberFormat="1" applyFont="1" applyFill="1" applyBorder="1" applyAlignment="1">
      <alignment vertical="center" wrapText="1"/>
    </xf>
    <xf numFmtId="0" fontId="6" fillId="0" borderId="0" xfId="2"/>
    <xf numFmtId="4" fontId="14" fillId="2" borderId="7" xfId="0" applyNumberFormat="1" applyFont="1" applyFill="1" applyBorder="1" applyAlignment="1">
      <alignment vertical="center" wrapText="1"/>
    </xf>
    <xf numFmtId="4" fontId="18" fillId="2" borderId="11" xfId="0" applyNumberFormat="1" applyFont="1" applyFill="1" applyBorder="1" applyAlignment="1">
      <alignment vertical="center" wrapText="1"/>
    </xf>
    <xf numFmtId="4" fontId="9" fillId="2" borderId="8" xfId="0" applyNumberFormat="1" applyFont="1" applyFill="1" applyBorder="1" applyAlignment="1">
      <alignment vertical="center" wrapText="1"/>
    </xf>
    <xf numFmtId="4" fontId="5" fillId="5" borderId="8" xfId="0" applyNumberFormat="1" applyFont="1" applyFill="1" applyBorder="1" applyAlignment="1">
      <alignment vertical="center" wrapText="1"/>
    </xf>
    <xf numFmtId="4" fontId="18" fillId="2" borderId="8" xfId="0" applyNumberFormat="1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vertical="center" wrapText="1"/>
    </xf>
    <xf numFmtId="4" fontId="14" fillId="2" borderId="11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/>
    <xf numFmtId="4" fontId="14" fillId="3" borderId="4" xfId="0" applyNumberFormat="1" applyFont="1" applyFill="1" applyBorder="1"/>
    <xf numFmtId="4" fontId="9" fillId="2" borderId="11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39" fontId="10" fillId="5" borderId="6" xfId="0" applyNumberFormat="1" applyFont="1" applyFill="1" applyBorder="1" applyAlignment="1">
      <alignment vertical="center" wrapText="1"/>
    </xf>
    <xf numFmtId="39" fontId="10" fillId="5" borderId="11" xfId="1" applyNumberFormat="1" applyFont="1" applyFill="1" applyBorder="1" applyAlignment="1">
      <alignment horizontal="right" vertical="center" wrapText="1"/>
    </xf>
    <xf numFmtId="165" fontId="10" fillId="5" borderId="11" xfId="1" applyNumberFormat="1" applyFont="1" applyFill="1" applyBorder="1" applyAlignment="1">
      <alignment horizontal="right" vertical="center" wrapText="1"/>
    </xf>
    <xf numFmtId="165" fontId="10" fillId="7" borderId="11" xfId="1" applyNumberFormat="1" applyFont="1" applyFill="1" applyBorder="1" applyAlignment="1">
      <alignment horizontal="right" vertical="center" wrapText="1"/>
    </xf>
    <xf numFmtId="165" fontId="3" fillId="2" borderId="7" xfId="0" applyNumberFormat="1" applyFont="1" applyFill="1" applyBorder="1" applyAlignment="1">
      <alignment horizontal="right" vertical="center"/>
    </xf>
    <xf numFmtId="165" fontId="10" fillId="5" borderId="7" xfId="0" applyNumberFormat="1" applyFont="1" applyFill="1" applyBorder="1" applyAlignment="1">
      <alignment horizontal="right" vertical="center" wrapText="1"/>
    </xf>
    <xf numFmtId="165" fontId="10" fillId="5" borderId="7" xfId="1" applyNumberFormat="1" applyFont="1" applyFill="1" applyBorder="1" applyAlignment="1">
      <alignment horizontal="right" vertical="center" wrapText="1"/>
    </xf>
    <xf numFmtId="165" fontId="10" fillId="5" borderId="8" xfId="1" applyNumberFormat="1" applyFont="1" applyFill="1" applyBorder="1" applyAlignment="1">
      <alignment horizontal="right" vertical="center" wrapText="1"/>
    </xf>
    <xf numFmtId="4" fontId="12" fillId="2" borderId="8" xfId="0" applyNumberFormat="1" applyFont="1" applyFill="1" applyBorder="1" applyAlignment="1">
      <alignment horizontal="right" vertical="center" wrapText="1"/>
    </xf>
    <xf numFmtId="10" fontId="9" fillId="2" borderId="8" xfId="0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165" fontId="10" fillId="5" borderId="10" xfId="1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12" fillId="2" borderId="7" xfId="0" applyFont="1" applyFill="1" applyBorder="1" applyAlignment="1">
      <alignment horizontal="left" vertical="center"/>
    </xf>
    <xf numFmtId="0" fontId="10" fillId="0" borderId="6" xfId="0" applyFont="1" applyBorder="1"/>
    <xf numFmtId="0" fontId="5" fillId="2" borderId="6" xfId="0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horizontal="right" vertical="center" wrapText="1"/>
    </xf>
    <xf numFmtId="1" fontId="10" fillId="8" borderId="11" xfId="0" applyNumberFormat="1" applyFont="1" applyFill="1" applyBorder="1" applyAlignment="1">
      <alignment horizontal="right" vertical="center"/>
    </xf>
    <xf numFmtId="0" fontId="12" fillId="8" borderId="7" xfId="0" applyFont="1" applyFill="1" applyBorder="1" applyAlignment="1">
      <alignment horizontal="right" vertical="center"/>
    </xf>
    <xf numFmtId="49" fontId="12" fillId="8" borderId="7" xfId="0" applyNumberFormat="1" applyFont="1" applyFill="1" applyBorder="1" applyAlignment="1">
      <alignment horizontal="right" vertical="center"/>
    </xf>
    <xf numFmtId="49" fontId="10" fillId="8" borderId="11" xfId="0" applyNumberFormat="1" applyFont="1" applyFill="1" applyBorder="1" applyAlignment="1">
      <alignment horizontal="right" vertical="center"/>
    </xf>
    <xf numFmtId="0" fontId="10" fillId="8" borderId="11" xfId="0" applyFont="1" applyFill="1" applyBorder="1" applyAlignment="1">
      <alignment horizontal="right" vertical="center"/>
    </xf>
    <xf numFmtId="49" fontId="10" fillId="8" borderId="7" xfId="0" applyNumberFormat="1" applyFont="1" applyFill="1" applyBorder="1" applyAlignment="1">
      <alignment horizontal="right" vertical="center"/>
    </xf>
    <xf numFmtId="0" fontId="12" fillId="8" borderId="11" xfId="0" applyFont="1" applyFill="1" applyBorder="1" applyAlignment="1">
      <alignment horizontal="right" vertical="center"/>
    </xf>
    <xf numFmtId="0" fontId="12" fillId="8" borderId="11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2" fillId="8" borderId="11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43" fontId="10" fillId="7" borderId="11" xfId="1" applyFont="1" applyFill="1" applyBorder="1" applyAlignment="1">
      <alignment horizontal="right" vertical="center" wrapText="1"/>
    </xf>
    <xf numFmtId="43" fontId="10" fillId="5" borderId="11" xfId="1" applyFont="1" applyFill="1" applyBorder="1" applyAlignment="1">
      <alignment horizontal="right" vertical="center" wrapText="1"/>
    </xf>
    <xf numFmtId="165" fontId="10" fillId="2" borderId="11" xfId="0" applyNumberFormat="1" applyFont="1" applyFill="1" applyBorder="1" applyAlignment="1">
      <alignment vertical="center" wrapText="1"/>
    </xf>
    <xf numFmtId="4" fontId="15" fillId="5" borderId="7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43" fontId="6" fillId="0" borderId="15" xfId="1" applyFont="1" applyBorder="1" applyAlignment="1">
      <alignment horizontal="right"/>
    </xf>
    <xf numFmtId="165" fontId="5" fillId="2" borderId="6" xfId="0" applyNumberFormat="1" applyFont="1" applyFill="1" applyBorder="1" applyAlignment="1">
      <alignment horizontal="right"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4" fontId="15" fillId="5" borderId="7" xfId="0" applyNumberFormat="1" applyFont="1" applyFill="1" applyBorder="1" applyAlignment="1">
      <alignment horizontal="right" vertical="center" wrapText="1"/>
    </xf>
    <xf numFmtId="4" fontId="18" fillId="2" borderId="11" xfId="0" applyNumberFormat="1" applyFont="1" applyFill="1" applyBorder="1" applyAlignment="1">
      <alignment horizontal="right" vertical="center"/>
    </xf>
    <xf numFmtId="4" fontId="18" fillId="2" borderId="7" xfId="0" applyNumberFormat="1" applyFont="1" applyFill="1" applyBorder="1" applyAlignment="1">
      <alignment horizontal="right" vertical="center"/>
    </xf>
    <xf numFmtId="4" fontId="18" fillId="3" borderId="7" xfId="0" applyNumberFormat="1" applyFont="1" applyFill="1" applyBorder="1"/>
    <xf numFmtId="0" fontId="9" fillId="0" borderId="6" xfId="0" applyFont="1" applyBorder="1" applyAlignment="1">
      <alignment horizontal="left" vertical="center"/>
    </xf>
    <xf numFmtId="165" fontId="14" fillId="5" borderId="11" xfId="0" applyNumberFormat="1" applyFont="1" applyFill="1" applyBorder="1" applyAlignment="1">
      <alignment vertical="center"/>
    </xf>
    <xf numFmtId="165" fontId="14" fillId="2" borderId="11" xfId="0" applyNumberFormat="1" applyFont="1" applyFill="1" applyBorder="1" applyAlignment="1">
      <alignment vertical="center"/>
    </xf>
    <xf numFmtId="4" fontId="12" fillId="2" borderId="6" xfId="0" applyNumberFormat="1" applyFont="1" applyFill="1" applyBorder="1" applyAlignment="1">
      <alignment vertical="center" wrapText="1"/>
    </xf>
    <xf numFmtId="165" fontId="12" fillId="2" borderId="7" xfId="0" applyNumberFormat="1" applyFont="1" applyFill="1" applyBorder="1" applyAlignment="1">
      <alignment horizontal="right" vertical="center" wrapText="1"/>
    </xf>
    <xf numFmtId="165" fontId="5" fillId="2" borderId="7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4" fontId="18" fillId="3" borderId="11" xfId="0" applyNumberFormat="1" applyFont="1" applyFill="1" applyBorder="1"/>
    <xf numFmtId="4" fontId="18" fillId="3" borderId="12" xfId="0" applyNumberFormat="1" applyFont="1" applyFill="1" applyBorder="1"/>
    <xf numFmtId="4" fontId="18" fillId="3" borderId="4" xfId="0" applyNumberFormat="1" applyFont="1" applyFill="1" applyBorder="1"/>
    <xf numFmtId="4" fontId="15" fillId="3" borderId="7" xfId="0" applyNumberFormat="1" applyFont="1" applyFill="1" applyBorder="1" applyAlignment="1">
      <alignment horizontal="right" vertical="center"/>
    </xf>
    <xf numFmtId="0" fontId="14" fillId="5" borderId="6" xfId="0" applyFont="1" applyFill="1" applyBorder="1" applyAlignment="1">
      <alignment horizontal="right" vertical="center"/>
    </xf>
    <xf numFmtId="0" fontId="14" fillId="5" borderId="6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horizontal="left" vertical="center"/>
    </xf>
    <xf numFmtId="4" fontId="14" fillId="5" borderId="7" xfId="0" applyNumberFormat="1" applyFont="1" applyFill="1" applyBorder="1" applyAlignment="1">
      <alignment horizontal="right" vertical="center" wrapText="1"/>
    </xf>
    <xf numFmtId="0" fontId="10" fillId="5" borderId="6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2" fontId="14" fillId="0" borderId="11" xfId="1" applyNumberFormat="1" applyFont="1" applyBorder="1"/>
    <xf numFmtId="165" fontId="28" fillId="2" borderId="0" xfId="0" applyNumberFormat="1" applyFont="1" applyFill="1" applyAlignment="1">
      <alignment horizontal="right" vertical="center" wrapText="1"/>
    </xf>
    <xf numFmtId="10" fontId="10" fillId="2" borderId="0" xfId="0" applyNumberFormat="1" applyFont="1" applyFill="1" applyAlignment="1">
      <alignment horizontal="right" vertical="center"/>
    </xf>
    <xf numFmtId="168" fontId="12" fillId="3" borderId="0" xfId="1" applyNumberFormat="1" applyFont="1" applyFill="1" applyBorder="1" applyAlignment="1">
      <alignment horizontal="right" vertical="center"/>
    </xf>
    <xf numFmtId="0" fontId="9" fillId="0" borderId="0" xfId="2" applyFont="1"/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164" fontId="10" fillId="5" borderId="7" xfId="0" applyNumberFormat="1" applyFont="1" applyFill="1" applyBorder="1" applyAlignment="1">
      <alignment horizontal="right" vertical="center"/>
    </xf>
    <xf numFmtId="4" fontId="10" fillId="5" borderId="11" xfId="0" applyNumberFormat="1" applyFont="1" applyFill="1" applyBorder="1" applyAlignment="1">
      <alignment horizontal="right" vertical="center"/>
    </xf>
    <xf numFmtId="4" fontId="10" fillId="5" borderId="6" xfId="0" applyNumberFormat="1" applyFont="1" applyFill="1" applyBorder="1" applyAlignment="1">
      <alignment vertical="center" wrapText="1"/>
    </xf>
    <xf numFmtId="4" fontId="10" fillId="5" borderId="11" xfId="0" applyNumberFormat="1" applyFont="1" applyFill="1" applyBorder="1" applyAlignment="1">
      <alignment vertical="center"/>
    </xf>
    <xf numFmtId="165" fontId="10" fillId="5" borderId="11" xfId="0" applyNumberFormat="1" applyFont="1" applyFill="1" applyBorder="1" applyAlignment="1">
      <alignment vertical="center" wrapText="1"/>
    </xf>
    <xf numFmtId="165" fontId="10" fillId="5" borderId="7" xfId="0" applyNumberFormat="1" applyFont="1" applyFill="1" applyBorder="1" applyAlignment="1">
      <alignment vertical="center" wrapText="1"/>
    </xf>
    <xf numFmtId="10" fontId="11" fillId="0" borderId="0" xfId="0" applyNumberFormat="1" applyFont="1"/>
    <xf numFmtId="0" fontId="0" fillId="0" borderId="0" xfId="0"/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7" fillId="3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7" fillId="8" borderId="1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10" fontId="5" fillId="0" borderId="6" xfId="0" applyNumberFormat="1" applyFont="1" applyBorder="1" applyAlignment="1">
      <alignment horizontal="right" vertical="center"/>
    </xf>
    <xf numFmtId="10" fontId="5" fillId="0" borderId="7" xfId="0" applyNumberFormat="1" applyFont="1" applyBorder="1" applyAlignment="1">
      <alignment horizontal="right" vertical="center"/>
    </xf>
    <xf numFmtId="10" fontId="12" fillId="5" borderId="6" xfId="0" applyNumberFormat="1" applyFont="1" applyFill="1" applyBorder="1" applyAlignment="1">
      <alignment horizontal="right" vertical="center"/>
    </xf>
    <xf numFmtId="10" fontId="12" fillId="5" borderId="7" xfId="0" applyNumberFormat="1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6" fillId="0" borderId="0" xfId="2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7" borderId="6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2" fillId="3" borderId="0" xfId="0" applyFont="1" applyFill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2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justify" wrapText="1"/>
    </xf>
    <xf numFmtId="0" fontId="9" fillId="3" borderId="0" xfId="0" applyFont="1" applyFill="1" applyAlignment="1">
      <alignment vertical="center"/>
    </xf>
    <xf numFmtId="0" fontId="9" fillId="0" borderId="6" xfId="0" applyFont="1" applyBorder="1" applyAlignment="1">
      <alignment horizontal="left" vertical="justify" wrapText="1"/>
    </xf>
    <xf numFmtId="0" fontId="9" fillId="0" borderId="7" xfId="0" applyFont="1" applyBorder="1" applyAlignment="1">
      <alignment horizontal="left" vertical="justify" wrapText="1"/>
    </xf>
    <xf numFmtId="0" fontId="9" fillId="3" borderId="0" xfId="0" applyFont="1" applyFill="1" applyAlignment="1">
      <alignment horizontal="left" vertical="center"/>
    </xf>
    <xf numFmtId="0" fontId="12" fillId="5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</xdr:row>
      <xdr:rowOff>57152</xdr:rowOff>
    </xdr:from>
    <xdr:to>
      <xdr:col>2</xdr:col>
      <xdr:colOff>76200</xdr:colOff>
      <xdr:row>6</xdr:row>
      <xdr:rowOff>95251</xdr:rowOff>
    </xdr:to>
    <xdr:pic>
      <xdr:nvPicPr>
        <xdr:cNvPr id="2" name="Picture 5" descr="85px-Coat_of_arms_of_Kosovo_sv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266702"/>
          <a:ext cx="923926" cy="1085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561955</xdr:colOff>
      <xdr:row>1</xdr:row>
      <xdr:rowOff>95630</xdr:rowOff>
    </xdr:from>
    <xdr:to>
      <xdr:col>8</xdr:col>
      <xdr:colOff>342928</xdr:colOff>
      <xdr:row>6</xdr:row>
      <xdr:rowOff>143285</xdr:rowOff>
    </xdr:to>
    <xdr:pic>
      <xdr:nvPicPr>
        <xdr:cNvPr id="3" name="Picture 4" descr="amblem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21563546" flipV="1">
          <a:off x="5591155" y="305180"/>
          <a:ext cx="943023" cy="109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457200</xdr:colOff>
      <xdr:row>13</xdr:row>
      <xdr:rowOff>209550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0550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83"/>
  <sheetViews>
    <sheetView tabSelected="1" topLeftCell="A506" zoomScaleNormal="100" workbookViewId="0">
      <selection activeCell="H523" sqref="H523"/>
    </sheetView>
  </sheetViews>
  <sheetFormatPr defaultRowHeight="15" x14ac:dyDescent="0.25"/>
  <cols>
    <col min="1" max="1" width="8" customWidth="1"/>
    <col min="2" max="2" width="9.28515625" bestFit="1" customWidth="1"/>
    <col min="3" max="3" width="26.42578125" customWidth="1"/>
    <col min="4" max="4" width="11.42578125" customWidth="1"/>
    <col min="5" max="5" width="12.28515625" customWidth="1"/>
    <col min="6" max="6" width="11.5703125" customWidth="1"/>
    <col min="7" max="7" width="8.85546875" customWidth="1"/>
    <col min="8" max="8" width="8.5703125" customWidth="1"/>
    <col min="9" max="9" width="12.5703125" customWidth="1"/>
    <col min="10" max="10" width="12.140625" customWidth="1"/>
    <col min="11" max="11" width="14.5703125" bestFit="1" customWidth="1"/>
    <col min="12" max="12" width="13.5703125" customWidth="1"/>
    <col min="13" max="14" width="13.5703125" bestFit="1" customWidth="1"/>
    <col min="15" max="15" width="13.5703125" customWidth="1"/>
    <col min="16" max="16" width="10.28515625" customWidth="1"/>
    <col min="17" max="17" width="11" bestFit="1" customWidth="1"/>
    <col min="19" max="19" width="11" bestFit="1" customWidth="1"/>
    <col min="21" max="21" width="14.140625" customWidth="1"/>
  </cols>
  <sheetData>
    <row r="1" spans="1:9" ht="16.5" x14ac:dyDescent="0.3">
      <c r="A1" s="9"/>
      <c r="B1" s="9"/>
      <c r="C1" s="9"/>
      <c r="D1" s="9"/>
      <c r="E1" s="9"/>
      <c r="F1" s="9"/>
      <c r="G1" s="9"/>
      <c r="H1" s="9"/>
      <c r="I1" s="9"/>
    </row>
    <row r="2" spans="1:9" ht="16.5" x14ac:dyDescent="0.25">
      <c r="A2" s="628" t="s">
        <v>0</v>
      </c>
      <c r="B2" s="628"/>
      <c r="C2" s="628"/>
      <c r="D2" s="628"/>
      <c r="E2" s="628"/>
      <c r="F2" s="628"/>
      <c r="G2" s="628"/>
      <c r="H2" s="628"/>
      <c r="I2" s="628"/>
    </row>
    <row r="3" spans="1:9" ht="16.5" customHeight="1" x14ac:dyDescent="0.3">
      <c r="A3" s="629" t="s">
        <v>1</v>
      </c>
      <c r="B3" s="629"/>
      <c r="C3" s="629"/>
      <c r="D3" s="629"/>
      <c r="E3" s="629"/>
      <c r="F3" s="629"/>
      <c r="G3" s="629"/>
      <c r="H3" s="629"/>
      <c r="I3" s="629"/>
    </row>
    <row r="4" spans="1:9" ht="16.5" customHeight="1" x14ac:dyDescent="0.3">
      <c r="A4" s="630" t="s">
        <v>2</v>
      </c>
      <c r="B4" s="630"/>
      <c r="C4" s="630"/>
      <c r="D4" s="630"/>
      <c r="E4" s="630"/>
      <c r="F4" s="630"/>
      <c r="G4" s="630"/>
      <c r="H4" s="630"/>
      <c r="I4" s="630"/>
    </row>
    <row r="5" spans="1:9" ht="16.5" customHeight="1" x14ac:dyDescent="0.3">
      <c r="A5" s="630" t="s">
        <v>3</v>
      </c>
      <c r="B5" s="630"/>
      <c r="C5" s="630"/>
      <c r="D5" s="630"/>
      <c r="E5" s="630"/>
      <c r="F5" s="630"/>
      <c r="G5" s="630"/>
      <c r="H5" s="630"/>
      <c r="I5" s="630"/>
    </row>
    <row r="6" spans="1:9" ht="16.5" x14ac:dyDescent="0.3">
      <c r="A6" s="628"/>
      <c r="B6" s="628"/>
      <c r="C6" s="628"/>
      <c r="D6" s="628"/>
      <c r="E6" s="628"/>
      <c r="F6" s="628"/>
      <c r="G6" s="628"/>
      <c r="H6" s="628"/>
      <c r="I6" s="2"/>
    </row>
    <row r="7" spans="1:9" ht="16.5" x14ac:dyDescent="0.3">
      <c r="A7" s="10"/>
      <c r="B7" s="11"/>
      <c r="C7" s="2"/>
      <c r="D7" s="2"/>
      <c r="E7" s="2"/>
      <c r="F7" s="2"/>
      <c r="G7" s="12"/>
      <c r="H7" s="2"/>
      <c r="I7" s="4"/>
    </row>
    <row r="8" spans="1:9" ht="16.5" customHeight="1" x14ac:dyDescent="0.3">
      <c r="A8" s="771" t="s">
        <v>4</v>
      </c>
      <c r="B8" s="771"/>
      <c r="C8" s="771"/>
      <c r="D8" s="771"/>
      <c r="E8" s="771"/>
      <c r="F8" s="771"/>
      <c r="G8" s="771"/>
      <c r="H8" s="771"/>
      <c r="I8" s="356"/>
    </row>
    <row r="9" spans="1:9" ht="16.5" x14ac:dyDescent="0.3">
      <c r="A9" s="13"/>
      <c r="B9" s="13"/>
      <c r="C9" s="13"/>
      <c r="D9" s="13"/>
      <c r="E9" s="13"/>
      <c r="F9" s="13"/>
      <c r="G9" s="13"/>
      <c r="H9" s="13"/>
      <c r="I9" s="4"/>
    </row>
    <row r="10" spans="1:9" ht="16.5" x14ac:dyDescent="0.3">
      <c r="A10" s="14"/>
      <c r="B10" s="4"/>
      <c r="C10" s="4"/>
      <c r="D10" s="4"/>
      <c r="E10" s="4"/>
      <c r="F10" s="4"/>
      <c r="G10" s="4"/>
      <c r="H10" s="4"/>
      <c r="I10" s="4"/>
    </row>
    <row r="11" spans="1:9" ht="16.5" x14ac:dyDescent="0.25">
      <c r="A11" s="772" t="s">
        <v>5</v>
      </c>
      <c r="B11" s="772"/>
      <c r="C11" s="772"/>
      <c r="D11" s="772"/>
      <c r="E11" s="772"/>
      <c r="F11" s="772"/>
      <c r="G11" s="772"/>
      <c r="H11" s="772"/>
      <c r="I11" s="8"/>
    </row>
    <row r="12" spans="1:9" ht="16.5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ht="16.5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ht="16.5" x14ac:dyDescent="0.25">
      <c r="A14" s="5"/>
      <c r="B14" s="7"/>
      <c r="C14" s="7"/>
      <c r="D14" s="7"/>
      <c r="E14" s="7"/>
      <c r="F14" s="7"/>
      <c r="G14" s="7"/>
      <c r="H14" s="7"/>
      <c r="I14" s="7"/>
    </row>
    <row r="15" spans="1:9" ht="16.5" x14ac:dyDescent="0.25">
      <c r="A15" s="5"/>
      <c r="B15" s="7"/>
      <c r="C15" s="7"/>
      <c r="D15" s="7"/>
      <c r="E15" s="7"/>
      <c r="F15" s="7"/>
      <c r="G15" s="7"/>
      <c r="H15" s="7"/>
      <c r="I15" s="7"/>
    </row>
    <row r="16" spans="1:9" ht="16.5" x14ac:dyDescent="0.25">
      <c r="A16" s="5"/>
      <c r="B16" s="7"/>
      <c r="C16" s="7"/>
      <c r="D16" s="7"/>
      <c r="E16" s="7"/>
      <c r="F16" s="7"/>
      <c r="G16" s="7"/>
      <c r="H16" s="7"/>
      <c r="I16" s="7"/>
    </row>
    <row r="17" spans="1:9" ht="16.5" x14ac:dyDescent="0.25">
      <c r="A17" s="5"/>
      <c r="B17" s="7"/>
      <c r="C17" s="7"/>
      <c r="D17" s="7"/>
      <c r="E17" s="7"/>
      <c r="F17" s="7"/>
      <c r="G17" s="7"/>
      <c r="H17" s="7"/>
      <c r="I17" s="7"/>
    </row>
    <row r="18" spans="1:9" ht="16.5" x14ac:dyDescent="0.25">
      <c r="A18" s="5"/>
      <c r="B18" s="7"/>
      <c r="C18" s="7"/>
      <c r="D18" s="7"/>
      <c r="E18" s="7"/>
      <c r="F18" s="7"/>
      <c r="G18" s="7"/>
      <c r="H18" s="7"/>
      <c r="I18" s="7"/>
    </row>
    <row r="19" spans="1:9" ht="16.5" x14ac:dyDescent="0.25">
      <c r="A19" s="5"/>
      <c r="B19" s="7"/>
      <c r="C19" s="7"/>
      <c r="D19" s="7"/>
      <c r="E19" s="7"/>
      <c r="F19" s="7"/>
      <c r="G19" s="7"/>
      <c r="H19" s="7"/>
      <c r="I19" s="7"/>
    </row>
    <row r="20" spans="1:9" ht="16.5" x14ac:dyDescent="0.25">
      <c r="A20" s="5"/>
      <c r="B20" s="7"/>
      <c r="C20" s="7"/>
      <c r="D20" s="7"/>
      <c r="E20" s="7"/>
      <c r="F20" s="7"/>
      <c r="G20" s="7"/>
      <c r="H20" s="7"/>
      <c r="I20" s="7"/>
    </row>
    <row r="21" spans="1:9" ht="16.5" x14ac:dyDescent="0.25">
      <c r="A21" s="5"/>
      <c r="B21" s="7"/>
      <c r="C21" s="7"/>
      <c r="D21" s="7"/>
      <c r="E21" s="7"/>
      <c r="F21" s="7"/>
      <c r="G21" s="7"/>
      <c r="H21" s="7"/>
      <c r="I21" s="7"/>
    </row>
    <row r="22" spans="1:9" ht="16.5" x14ac:dyDescent="0.25">
      <c r="A22" s="5"/>
      <c r="B22" s="7"/>
      <c r="C22" s="7"/>
      <c r="D22" s="7"/>
      <c r="E22" s="7"/>
      <c r="F22" s="7"/>
      <c r="G22" s="7"/>
      <c r="H22" s="7"/>
      <c r="I22" s="7"/>
    </row>
    <row r="23" spans="1:9" ht="16.5" x14ac:dyDescent="0.25">
      <c r="A23" s="5"/>
      <c r="B23" s="7"/>
      <c r="C23" s="7"/>
      <c r="D23" s="7"/>
      <c r="E23" s="7"/>
      <c r="F23" s="7"/>
      <c r="G23" s="7"/>
      <c r="H23" s="7"/>
      <c r="I23" s="7"/>
    </row>
    <row r="24" spans="1:9" ht="16.5" x14ac:dyDescent="0.25">
      <c r="A24" s="5"/>
      <c r="B24" s="7"/>
      <c r="C24" s="7"/>
      <c r="D24" s="7"/>
      <c r="E24" s="7"/>
      <c r="F24" s="7"/>
      <c r="G24" s="7"/>
      <c r="H24" s="7"/>
      <c r="I24" s="7"/>
    </row>
    <row r="25" spans="1:9" ht="16.5" x14ac:dyDescent="0.25">
      <c r="A25" s="5"/>
      <c r="B25" s="7"/>
      <c r="C25" s="7"/>
      <c r="D25" s="7"/>
      <c r="E25" s="7"/>
      <c r="F25" s="7"/>
      <c r="G25" s="7"/>
      <c r="H25" s="7"/>
      <c r="I25" s="7"/>
    </row>
    <row r="26" spans="1:9" ht="16.5" x14ac:dyDescent="0.25">
      <c r="A26" s="5"/>
      <c r="B26" s="7"/>
      <c r="C26" s="7"/>
      <c r="D26" s="7"/>
      <c r="E26" s="7"/>
      <c r="F26" s="7"/>
      <c r="G26" s="7"/>
      <c r="H26" s="7"/>
      <c r="I26" s="7"/>
    </row>
    <row r="27" spans="1:9" ht="16.5" x14ac:dyDescent="0.25">
      <c r="A27" s="5"/>
      <c r="B27" s="7"/>
      <c r="C27" s="7"/>
      <c r="D27" s="7"/>
      <c r="E27" s="7"/>
      <c r="F27" s="7"/>
      <c r="G27" s="7"/>
      <c r="H27" s="7"/>
      <c r="I27" s="7"/>
    </row>
    <row r="28" spans="1:9" ht="16.5" x14ac:dyDescent="0.25">
      <c r="A28" s="5"/>
      <c r="B28" s="7"/>
      <c r="C28" s="7"/>
      <c r="D28" s="7"/>
      <c r="E28" s="7"/>
      <c r="F28" s="7"/>
      <c r="G28" s="7"/>
      <c r="H28" s="7"/>
      <c r="I28" s="7"/>
    </row>
    <row r="29" spans="1:9" ht="16.5" x14ac:dyDescent="0.25">
      <c r="A29" s="772" t="s">
        <v>6</v>
      </c>
      <c r="B29" s="772"/>
      <c r="C29" s="772"/>
      <c r="D29" s="772"/>
      <c r="E29" s="772"/>
      <c r="F29" s="772"/>
      <c r="G29" s="772"/>
      <c r="H29" s="772"/>
      <c r="I29" s="8"/>
    </row>
    <row r="30" spans="1:9" ht="16.5" x14ac:dyDescent="0.25">
      <c r="A30" s="772" t="s">
        <v>7</v>
      </c>
      <c r="B30" s="772"/>
      <c r="C30" s="772"/>
      <c r="D30" s="772"/>
      <c r="E30" s="772"/>
      <c r="F30" s="772"/>
      <c r="G30" s="772"/>
      <c r="H30" s="772"/>
      <c r="I30" s="8"/>
    </row>
    <row r="31" spans="1:9" ht="16.5" x14ac:dyDescent="0.25">
      <c r="A31" s="772" t="s">
        <v>564</v>
      </c>
      <c r="B31" s="772"/>
      <c r="C31" s="772"/>
      <c r="D31" s="772"/>
      <c r="E31" s="772"/>
      <c r="F31" s="772"/>
      <c r="G31" s="772"/>
      <c r="H31" s="772"/>
      <c r="I31" s="8"/>
    </row>
    <row r="32" spans="1:9" ht="16.5" x14ac:dyDescent="0.25">
      <c r="A32" s="5"/>
      <c r="B32" s="7"/>
      <c r="C32" s="7"/>
      <c r="D32" s="7"/>
      <c r="E32" s="7"/>
      <c r="F32" s="7"/>
      <c r="G32" s="7"/>
      <c r="H32" s="7"/>
      <c r="I32" s="7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9" x14ac:dyDescent="0.25">
      <c r="A49" s="1"/>
      <c r="B49" s="1"/>
      <c r="C49" s="1"/>
      <c r="D49" s="1"/>
      <c r="E49" s="1"/>
      <c r="F49" s="1"/>
      <c r="G49" s="1"/>
    </row>
    <row r="50" spans="1:9" ht="16.5" x14ac:dyDescent="0.3">
      <c r="A50" s="643" t="s">
        <v>565</v>
      </c>
      <c r="B50" s="643"/>
      <c r="C50" s="643"/>
      <c r="D50" s="643"/>
      <c r="E50" s="643"/>
      <c r="F50" s="643"/>
      <c r="G50" s="643"/>
      <c r="H50" s="643"/>
    </row>
    <row r="53" spans="1:9" ht="16.5" x14ac:dyDescent="0.25">
      <c r="C53" s="7"/>
      <c r="D53" s="7"/>
      <c r="E53" s="7"/>
      <c r="F53" s="7"/>
      <c r="G53" s="7"/>
      <c r="H53" s="7"/>
      <c r="I53" s="7"/>
    </row>
    <row r="54" spans="1:9" ht="16.5" x14ac:dyDescent="0.25">
      <c r="A54" s="5"/>
      <c r="B54" s="7"/>
      <c r="C54" s="7"/>
      <c r="D54" s="7"/>
      <c r="E54" s="7"/>
      <c r="F54" s="7"/>
      <c r="G54" s="7"/>
      <c r="H54" s="7"/>
      <c r="I54" s="7"/>
    </row>
    <row r="55" spans="1:9" ht="16.5" x14ac:dyDescent="0.25">
      <c r="A55" s="5"/>
      <c r="B55" s="7"/>
      <c r="C55" s="7"/>
      <c r="D55" s="7"/>
      <c r="E55" s="7"/>
      <c r="F55" s="7"/>
      <c r="G55" s="7"/>
      <c r="H55" s="7"/>
      <c r="I55" s="7"/>
    </row>
    <row r="56" spans="1:9" ht="16.5" x14ac:dyDescent="0.25">
      <c r="A56" s="5"/>
      <c r="B56" s="7"/>
      <c r="C56" s="7"/>
      <c r="D56" s="7"/>
      <c r="E56" s="7"/>
      <c r="F56" s="7"/>
      <c r="G56" s="7"/>
      <c r="H56" s="7"/>
      <c r="I56" s="7"/>
    </row>
    <row r="57" spans="1:9" ht="16.5" x14ac:dyDescent="0.25">
      <c r="A57" s="5"/>
      <c r="B57" s="7"/>
      <c r="C57" s="7"/>
      <c r="D57" s="7"/>
      <c r="E57" s="7"/>
      <c r="F57" s="7"/>
      <c r="G57" s="7"/>
      <c r="H57" s="7"/>
      <c r="I57" s="7"/>
    </row>
    <row r="58" spans="1:9" ht="16.5" x14ac:dyDescent="0.3">
      <c r="A58" s="2"/>
      <c r="B58" s="642" t="s">
        <v>8</v>
      </c>
      <c r="C58" s="642"/>
      <c r="D58" s="3"/>
      <c r="E58" s="3"/>
      <c r="F58" s="3"/>
      <c r="G58" s="3"/>
      <c r="H58" s="2"/>
      <c r="I58" s="2"/>
    </row>
    <row r="59" spans="1:9" ht="16.5" x14ac:dyDescent="0.3">
      <c r="A59" s="2"/>
      <c r="B59" s="3"/>
      <c r="C59" s="3"/>
      <c r="D59" s="3"/>
      <c r="E59" s="3"/>
      <c r="F59" s="3"/>
      <c r="G59" s="3"/>
      <c r="H59" s="2"/>
      <c r="I59" s="2"/>
    </row>
    <row r="60" spans="1:9" s="17" customFormat="1" ht="16.5" customHeight="1" x14ac:dyDescent="0.2">
      <c r="A60" s="15"/>
      <c r="B60" s="296" t="s">
        <v>9</v>
      </c>
      <c r="C60" s="296"/>
      <c r="D60" s="296"/>
      <c r="E60" s="296"/>
      <c r="F60" s="296"/>
      <c r="G60" s="16" t="s">
        <v>10</v>
      </c>
      <c r="I60" s="15"/>
    </row>
    <row r="61" spans="1:9" s="17" customFormat="1" ht="16.5" customHeight="1" x14ac:dyDescent="0.2">
      <c r="A61" s="16"/>
      <c r="B61" s="18"/>
      <c r="C61" s="18"/>
      <c r="D61" s="18"/>
      <c r="E61" s="18"/>
      <c r="F61" s="18"/>
      <c r="G61" s="18"/>
      <c r="I61" s="18"/>
    </row>
    <row r="62" spans="1:9" s="17" customFormat="1" ht="16.5" customHeight="1" x14ac:dyDescent="0.2">
      <c r="A62" s="19"/>
      <c r="B62" s="20" t="s">
        <v>11</v>
      </c>
      <c r="C62" s="20"/>
      <c r="D62" s="20"/>
      <c r="E62" s="20"/>
      <c r="F62" s="20"/>
      <c r="G62" s="15">
        <v>1</v>
      </c>
      <c r="I62" s="15"/>
    </row>
    <row r="63" spans="1:9" s="17" customFormat="1" ht="16.5" customHeight="1" x14ac:dyDescent="0.2">
      <c r="A63" s="15"/>
      <c r="B63" s="21" t="s">
        <v>566</v>
      </c>
      <c r="C63" s="21"/>
      <c r="D63" s="21"/>
      <c r="E63" s="21"/>
      <c r="F63" s="21"/>
      <c r="G63" s="22" t="s">
        <v>12</v>
      </c>
      <c r="I63" s="15"/>
    </row>
    <row r="64" spans="1:9" s="17" customFormat="1" ht="16.5" customHeight="1" x14ac:dyDescent="0.2">
      <c r="A64" s="15"/>
      <c r="B64" s="21" t="s">
        <v>13</v>
      </c>
      <c r="C64" s="21"/>
      <c r="D64" s="21"/>
      <c r="E64" s="21"/>
      <c r="F64" s="21"/>
      <c r="G64" s="22" t="s">
        <v>14</v>
      </c>
      <c r="I64" s="15"/>
    </row>
    <row r="65" spans="1:9" s="17" customFormat="1" ht="16.5" customHeight="1" x14ac:dyDescent="0.2">
      <c r="A65" s="15"/>
      <c r="B65" s="20" t="s">
        <v>567</v>
      </c>
      <c r="C65" s="20"/>
      <c r="D65" s="20"/>
      <c r="E65" s="20"/>
      <c r="F65" s="20"/>
      <c r="G65" s="22" t="s">
        <v>15</v>
      </c>
      <c r="I65" s="15"/>
    </row>
    <row r="66" spans="1:9" s="17" customFormat="1" ht="16.5" customHeight="1" x14ac:dyDescent="0.2">
      <c r="A66" s="15"/>
      <c r="B66" s="20" t="s">
        <v>568</v>
      </c>
      <c r="C66" s="20"/>
      <c r="D66" s="20"/>
      <c r="E66" s="20"/>
      <c r="F66" s="20"/>
      <c r="G66" s="22" t="s">
        <v>485</v>
      </c>
      <c r="I66" s="15"/>
    </row>
    <row r="67" spans="1:9" s="17" customFormat="1" ht="16.5" customHeight="1" x14ac:dyDescent="0.2">
      <c r="A67" s="15"/>
      <c r="B67" s="20" t="s">
        <v>16</v>
      </c>
      <c r="C67" s="20"/>
      <c r="D67" s="20"/>
      <c r="E67" s="20"/>
      <c r="F67" s="20"/>
      <c r="G67" s="22" t="s">
        <v>474</v>
      </c>
      <c r="I67" s="15"/>
    </row>
    <row r="68" spans="1:9" s="17" customFormat="1" ht="16.5" customHeight="1" x14ac:dyDescent="0.2">
      <c r="A68" s="15"/>
      <c r="B68" s="20" t="s">
        <v>17</v>
      </c>
      <c r="C68" s="20"/>
      <c r="D68" s="20"/>
      <c r="E68" s="20"/>
      <c r="F68" s="20"/>
      <c r="G68" s="22" t="s">
        <v>19</v>
      </c>
      <c r="I68" s="15"/>
    </row>
    <row r="69" spans="1:9" s="17" customFormat="1" ht="16.5" customHeight="1" x14ac:dyDescent="0.2">
      <c r="A69" s="15"/>
      <c r="B69" s="20" t="s">
        <v>18</v>
      </c>
      <c r="C69" s="20"/>
      <c r="D69" s="20"/>
      <c r="E69" s="20"/>
      <c r="F69" s="20"/>
      <c r="G69" s="22" t="s">
        <v>475</v>
      </c>
      <c r="I69" s="15"/>
    </row>
    <row r="70" spans="1:9" s="17" customFormat="1" ht="16.5" customHeight="1" x14ac:dyDescent="0.2">
      <c r="A70" s="15"/>
      <c r="B70" s="20" t="s">
        <v>20</v>
      </c>
      <c r="C70" s="20"/>
      <c r="D70" s="20"/>
      <c r="E70" s="20"/>
      <c r="F70" s="20"/>
      <c r="G70" s="22" t="s">
        <v>475</v>
      </c>
      <c r="I70" s="15"/>
    </row>
    <row r="71" spans="1:9" s="17" customFormat="1" ht="16.5" customHeight="1" x14ac:dyDescent="0.2">
      <c r="A71" s="15"/>
      <c r="B71" s="20" t="s">
        <v>21</v>
      </c>
      <c r="C71" s="20"/>
      <c r="D71" s="20"/>
      <c r="E71" s="20"/>
      <c r="F71" s="20"/>
      <c r="G71" s="22" t="s">
        <v>24</v>
      </c>
      <c r="I71" s="15"/>
    </row>
    <row r="72" spans="1:9" s="17" customFormat="1" ht="16.5" customHeight="1" x14ac:dyDescent="0.2">
      <c r="A72" s="15"/>
      <c r="B72" s="20" t="s">
        <v>22</v>
      </c>
      <c r="C72" s="20"/>
      <c r="D72" s="20"/>
      <c r="E72" s="20"/>
      <c r="F72" s="20"/>
      <c r="G72" s="22" t="s">
        <v>460</v>
      </c>
      <c r="I72" s="15"/>
    </row>
    <row r="73" spans="1:9" s="17" customFormat="1" ht="16.5" customHeight="1" x14ac:dyDescent="0.2">
      <c r="A73" s="15"/>
      <c r="B73" s="20" t="s">
        <v>23</v>
      </c>
      <c r="C73" s="20"/>
      <c r="D73" s="20"/>
      <c r="E73" s="20"/>
      <c r="F73" s="20"/>
      <c r="G73" s="22" t="s">
        <v>460</v>
      </c>
      <c r="I73" s="15"/>
    </row>
    <row r="74" spans="1:9" s="17" customFormat="1" ht="16.5" customHeight="1" x14ac:dyDescent="0.2">
      <c r="A74" s="15"/>
      <c r="B74" s="20" t="s">
        <v>25</v>
      </c>
      <c r="C74" s="20"/>
      <c r="D74" s="20"/>
      <c r="E74" s="20"/>
      <c r="F74" s="20"/>
      <c r="G74" s="22" t="s">
        <v>486</v>
      </c>
      <c r="I74" s="15"/>
    </row>
    <row r="75" spans="1:9" s="17" customFormat="1" ht="16.5" customHeight="1" x14ac:dyDescent="0.2">
      <c r="A75" s="15"/>
      <c r="B75" s="20" t="s">
        <v>26</v>
      </c>
      <c r="C75" s="20"/>
      <c r="D75" s="20"/>
      <c r="E75" s="20"/>
      <c r="F75" s="20"/>
      <c r="G75" s="22" t="s">
        <v>476</v>
      </c>
      <c r="I75" s="15"/>
    </row>
    <row r="76" spans="1:9" s="17" customFormat="1" ht="16.5" customHeight="1" x14ac:dyDescent="0.2">
      <c r="A76" s="15"/>
      <c r="B76" s="20" t="s">
        <v>27</v>
      </c>
      <c r="C76" s="20"/>
      <c r="D76" s="20"/>
      <c r="E76" s="20"/>
      <c r="F76" s="20"/>
      <c r="G76" s="22" t="s">
        <v>477</v>
      </c>
      <c r="I76" s="15"/>
    </row>
    <row r="77" spans="1:9" s="17" customFormat="1" ht="16.5" customHeight="1" x14ac:dyDescent="0.2">
      <c r="A77" s="15"/>
      <c r="B77" s="20" t="s">
        <v>28</v>
      </c>
      <c r="C77" s="20"/>
      <c r="D77" s="20"/>
      <c r="E77" s="20"/>
      <c r="F77" s="20"/>
      <c r="G77" s="22" t="s">
        <v>487</v>
      </c>
      <c r="I77" s="15"/>
    </row>
    <row r="78" spans="1:9" s="17" customFormat="1" ht="16.5" customHeight="1" x14ac:dyDescent="0.2">
      <c r="A78" s="15"/>
      <c r="B78" s="20" t="s">
        <v>29</v>
      </c>
      <c r="C78" s="20"/>
      <c r="D78" s="20"/>
      <c r="E78" s="20"/>
      <c r="F78" s="20"/>
      <c r="G78" s="22" t="s">
        <v>479</v>
      </c>
      <c r="I78" s="15"/>
    </row>
    <row r="79" spans="1:9" s="17" customFormat="1" ht="16.5" customHeight="1" x14ac:dyDescent="0.2">
      <c r="A79" s="15"/>
      <c r="B79" s="20" t="s">
        <v>30</v>
      </c>
      <c r="C79" s="20"/>
      <c r="D79" s="20"/>
      <c r="E79" s="20"/>
      <c r="F79" s="20"/>
      <c r="G79" s="22" t="s">
        <v>34</v>
      </c>
      <c r="I79" s="15"/>
    </row>
    <row r="80" spans="1:9" s="17" customFormat="1" ht="16.5" customHeight="1" x14ac:dyDescent="0.2">
      <c r="A80" s="15"/>
      <c r="B80" s="20" t="s">
        <v>31</v>
      </c>
      <c r="C80" s="20"/>
      <c r="D80" s="20"/>
      <c r="E80" s="20"/>
      <c r="F80" s="20"/>
      <c r="G80" s="22" t="s">
        <v>37</v>
      </c>
      <c r="I80" s="15"/>
    </row>
    <row r="81" spans="1:9" s="17" customFormat="1" ht="16.5" customHeight="1" x14ac:dyDescent="0.2">
      <c r="A81" s="15"/>
      <c r="B81" s="20" t="s">
        <v>32</v>
      </c>
      <c r="C81" s="20"/>
      <c r="D81" s="20"/>
      <c r="E81" s="20"/>
      <c r="F81" s="20"/>
      <c r="G81" s="22" t="s">
        <v>39</v>
      </c>
      <c r="I81" s="15"/>
    </row>
    <row r="82" spans="1:9" s="17" customFormat="1" ht="16.5" customHeight="1" x14ac:dyDescent="0.2">
      <c r="A82" s="15"/>
      <c r="B82" s="20" t="s">
        <v>33</v>
      </c>
      <c r="C82" s="20"/>
      <c r="D82" s="20"/>
      <c r="E82" s="20"/>
      <c r="F82" s="20"/>
      <c r="G82" s="22" t="s">
        <v>42</v>
      </c>
      <c r="I82" s="15"/>
    </row>
    <row r="83" spans="1:9" s="17" customFormat="1" ht="16.5" customHeight="1" x14ac:dyDescent="0.2">
      <c r="A83" s="15"/>
      <c r="B83" s="20" t="s">
        <v>35</v>
      </c>
      <c r="C83" s="20"/>
      <c r="D83" s="20"/>
      <c r="E83" s="20"/>
      <c r="F83" s="20"/>
      <c r="G83" s="22" t="s">
        <v>461</v>
      </c>
      <c r="I83" s="15"/>
    </row>
    <row r="84" spans="1:9" s="17" customFormat="1" ht="16.5" customHeight="1" x14ac:dyDescent="0.2">
      <c r="A84" s="15"/>
      <c r="B84" s="20" t="s">
        <v>36</v>
      </c>
      <c r="C84" s="20"/>
      <c r="D84" s="20"/>
      <c r="E84" s="20"/>
      <c r="F84" s="20"/>
      <c r="G84" s="22" t="s">
        <v>488</v>
      </c>
      <c r="I84" s="15"/>
    </row>
    <row r="85" spans="1:9" s="17" customFormat="1" ht="16.5" customHeight="1" x14ac:dyDescent="0.2">
      <c r="A85" s="15"/>
      <c r="B85" s="20" t="s">
        <v>38</v>
      </c>
      <c r="C85" s="20"/>
      <c r="D85" s="20"/>
      <c r="E85" s="20"/>
      <c r="F85" s="20"/>
      <c r="G85" s="22" t="s">
        <v>46</v>
      </c>
      <c r="I85" s="15"/>
    </row>
    <row r="86" spans="1:9" s="17" customFormat="1" ht="16.5" customHeight="1" x14ac:dyDescent="0.2">
      <c r="A86" s="15"/>
      <c r="B86" s="220" t="s">
        <v>377</v>
      </c>
      <c r="D86" s="20"/>
      <c r="E86" s="20"/>
      <c r="F86" s="20"/>
      <c r="G86" s="22" t="s">
        <v>462</v>
      </c>
      <c r="I86" s="15"/>
    </row>
    <row r="87" spans="1:9" s="17" customFormat="1" ht="16.5" customHeight="1" x14ac:dyDescent="0.2">
      <c r="A87" s="15"/>
      <c r="B87" s="158" t="s">
        <v>378</v>
      </c>
      <c r="D87" s="20"/>
      <c r="E87" s="20"/>
      <c r="F87" s="20"/>
      <c r="G87" s="22" t="s">
        <v>463</v>
      </c>
      <c r="I87" s="15"/>
    </row>
    <row r="88" spans="1:9" s="17" customFormat="1" ht="16.5" customHeight="1" x14ac:dyDescent="0.2">
      <c r="A88" s="15"/>
      <c r="B88" s="20" t="s">
        <v>41</v>
      </c>
      <c r="C88" s="20"/>
      <c r="D88" s="20"/>
      <c r="E88" s="20"/>
      <c r="F88" s="20"/>
      <c r="G88" s="22" t="s">
        <v>463</v>
      </c>
      <c r="I88" s="15"/>
    </row>
    <row r="89" spans="1:9" s="17" customFormat="1" ht="16.5" customHeight="1" x14ac:dyDescent="0.2">
      <c r="A89" s="15"/>
      <c r="B89" s="21" t="s">
        <v>43</v>
      </c>
      <c r="C89" s="21"/>
      <c r="D89" s="21"/>
      <c r="E89" s="21"/>
      <c r="F89" s="21"/>
      <c r="G89" s="22" t="s">
        <v>489</v>
      </c>
      <c r="I89" s="15"/>
    </row>
    <row r="90" spans="1:9" s="17" customFormat="1" ht="16.5" customHeight="1" x14ac:dyDescent="0.2">
      <c r="A90" s="15"/>
      <c r="B90" s="21" t="s">
        <v>44</v>
      </c>
      <c r="C90" s="21"/>
      <c r="D90" s="21"/>
      <c r="E90" s="21"/>
      <c r="F90" s="21"/>
      <c r="G90" s="22" t="s">
        <v>480</v>
      </c>
      <c r="I90" s="15"/>
    </row>
    <row r="91" spans="1:9" s="17" customFormat="1" ht="16.5" customHeight="1" x14ac:dyDescent="0.2">
      <c r="A91" s="15"/>
      <c r="B91" s="21" t="s">
        <v>45</v>
      </c>
      <c r="C91" s="21"/>
      <c r="D91" s="21"/>
      <c r="E91" s="21"/>
      <c r="F91" s="21"/>
      <c r="G91" s="22" t="s">
        <v>490</v>
      </c>
      <c r="I91" s="15"/>
    </row>
    <row r="92" spans="1:9" s="17" customFormat="1" ht="16.5" customHeight="1" x14ac:dyDescent="0.2">
      <c r="A92" s="15"/>
      <c r="I92" s="15"/>
    </row>
    <row r="93" spans="1:9" s="17" customFormat="1" ht="16.5" customHeight="1" x14ac:dyDescent="0.2">
      <c r="A93" s="15"/>
      <c r="I93" s="15"/>
    </row>
    <row r="94" spans="1:9" s="17" customFormat="1" ht="16.5" customHeight="1" x14ac:dyDescent="0.2">
      <c r="A94" s="15"/>
      <c r="I94" s="15"/>
    </row>
    <row r="95" spans="1:9" s="17" customFormat="1" ht="16.5" customHeight="1" x14ac:dyDescent="0.2">
      <c r="A95" s="15"/>
      <c r="I95" s="15"/>
    </row>
    <row r="96" spans="1:9" s="17" customFormat="1" ht="16.5" customHeight="1" x14ac:dyDescent="0.2">
      <c r="A96" s="15"/>
      <c r="I96" s="15"/>
    </row>
    <row r="97" spans="1:9" s="17" customFormat="1" ht="16.5" customHeight="1" x14ac:dyDescent="0.2">
      <c r="A97" s="15"/>
      <c r="I97" s="15"/>
    </row>
    <row r="98" spans="1:9" s="17" customFormat="1" ht="16.5" customHeight="1" x14ac:dyDescent="0.2">
      <c r="A98" s="15"/>
      <c r="I98" s="15"/>
    </row>
    <row r="99" spans="1:9" s="17" customFormat="1" ht="16.5" customHeight="1" x14ac:dyDescent="0.2">
      <c r="A99" s="15"/>
      <c r="I99" s="15"/>
    </row>
    <row r="100" spans="1:9" s="17" customFormat="1" ht="16.5" customHeight="1" x14ac:dyDescent="0.2">
      <c r="A100" s="15"/>
      <c r="I100" s="15"/>
    </row>
    <row r="101" spans="1:9" s="17" customFormat="1" ht="16.5" customHeight="1" x14ac:dyDescent="0.2">
      <c r="A101" s="15"/>
      <c r="B101" s="21"/>
      <c r="C101" s="21"/>
      <c r="D101" s="21"/>
      <c r="E101" s="21"/>
      <c r="F101" s="21"/>
      <c r="G101" s="22"/>
      <c r="H101" s="15"/>
      <c r="I101" s="15"/>
    </row>
    <row r="102" spans="1:9" s="17" customFormat="1" ht="16.5" customHeight="1" x14ac:dyDescent="0.2">
      <c r="A102" s="15"/>
      <c r="B102" s="21"/>
      <c r="C102" s="21"/>
      <c r="D102" s="21"/>
      <c r="E102" s="21"/>
      <c r="F102" s="21"/>
      <c r="G102" s="22"/>
      <c r="H102" s="15"/>
      <c r="I102" s="15"/>
    </row>
    <row r="103" spans="1:9" s="17" customFormat="1" ht="16.5" customHeight="1" x14ac:dyDescent="0.2">
      <c r="A103" s="15"/>
      <c r="B103" s="21"/>
      <c r="C103" s="21"/>
      <c r="D103" s="21"/>
      <c r="E103" s="21"/>
      <c r="F103" s="21"/>
      <c r="G103" s="22"/>
      <c r="H103" s="15"/>
      <c r="I103" s="15"/>
    </row>
    <row r="104" spans="1:9" s="17" customFormat="1" ht="16.5" customHeight="1" x14ac:dyDescent="0.2">
      <c r="A104" s="15"/>
      <c r="B104" s="21"/>
      <c r="C104" s="21"/>
      <c r="D104" s="21"/>
      <c r="E104" s="21"/>
      <c r="F104" s="21"/>
      <c r="G104" s="22"/>
      <c r="H104" s="15"/>
      <c r="I104" s="15"/>
    </row>
    <row r="105" spans="1:9" s="17" customFormat="1" ht="16.5" customHeight="1" x14ac:dyDescent="0.2">
      <c r="A105" s="15"/>
      <c r="B105" s="21"/>
      <c r="C105" s="21"/>
      <c r="D105" s="21"/>
      <c r="E105" s="21"/>
      <c r="F105" s="21"/>
      <c r="G105" s="22"/>
      <c r="H105" s="15"/>
      <c r="I105" s="15"/>
    </row>
    <row r="106" spans="1:9" s="17" customFormat="1" ht="16.5" customHeight="1" x14ac:dyDescent="0.2">
      <c r="A106" s="15"/>
      <c r="B106" s="21"/>
      <c r="C106" s="21"/>
      <c r="D106" s="21"/>
      <c r="E106" s="21"/>
      <c r="F106" s="21"/>
      <c r="G106" s="22"/>
      <c r="H106" s="15"/>
      <c r="I106" s="15"/>
    </row>
    <row r="107" spans="1:9" s="17" customFormat="1" ht="16.5" customHeight="1" x14ac:dyDescent="0.2">
      <c r="A107" s="15"/>
      <c r="B107" s="21"/>
      <c r="C107" s="21"/>
      <c r="D107" s="21"/>
      <c r="E107" s="21"/>
      <c r="F107" s="21"/>
      <c r="G107" s="22"/>
      <c r="H107" s="15"/>
      <c r="I107" s="15"/>
    </row>
    <row r="108" spans="1:9" s="17" customFormat="1" ht="16.5" customHeight="1" x14ac:dyDescent="0.2">
      <c r="A108" s="15"/>
      <c r="B108" s="21"/>
      <c r="C108" s="21"/>
      <c r="D108" s="21"/>
      <c r="E108" s="21"/>
      <c r="F108" s="21"/>
      <c r="G108" s="22"/>
      <c r="H108" s="15"/>
      <c r="I108" s="15"/>
    </row>
    <row r="109" spans="1:9" s="17" customFormat="1" ht="16.5" customHeight="1" x14ac:dyDescent="0.2">
      <c r="A109" s="15"/>
      <c r="B109" s="21"/>
      <c r="C109" s="21"/>
      <c r="D109" s="21"/>
      <c r="E109" s="21"/>
      <c r="F109" s="21"/>
      <c r="G109" s="22"/>
      <c r="H109" s="15"/>
      <c r="I109" s="15"/>
    </row>
    <row r="110" spans="1:9" s="17" customFormat="1" ht="16.5" customHeight="1" x14ac:dyDescent="0.2">
      <c r="A110" s="15"/>
      <c r="B110" s="21"/>
      <c r="C110" s="21"/>
      <c r="D110" s="21"/>
      <c r="E110" s="21"/>
      <c r="F110" s="21"/>
      <c r="G110" s="22"/>
      <c r="H110" s="15"/>
      <c r="I110" s="15"/>
    </row>
    <row r="111" spans="1:9" s="17" customFormat="1" ht="16.5" customHeight="1" x14ac:dyDescent="0.2">
      <c r="A111" s="15"/>
      <c r="B111" s="21"/>
      <c r="C111" s="21"/>
      <c r="D111" s="21"/>
      <c r="E111" s="21"/>
      <c r="F111" s="21"/>
      <c r="G111" s="22"/>
      <c r="I111" s="15"/>
    </row>
    <row r="112" spans="1:9" s="17" customFormat="1" ht="16.5" customHeight="1" x14ac:dyDescent="0.2">
      <c r="A112" s="15"/>
      <c r="B112" s="21"/>
      <c r="C112" s="21"/>
      <c r="D112" s="21"/>
      <c r="E112" s="21"/>
      <c r="F112" s="21"/>
      <c r="G112" s="22"/>
      <c r="H112" s="15"/>
      <c r="I112" s="296">
        <v>1</v>
      </c>
    </row>
    <row r="113" spans="1:9" s="17" customFormat="1" ht="16.5" customHeight="1" x14ac:dyDescent="0.3">
      <c r="A113" s="631" t="s">
        <v>569</v>
      </c>
      <c r="B113" s="631"/>
      <c r="C113" s="631"/>
      <c r="D113" s="631"/>
      <c r="E113" s="631"/>
      <c r="F113" s="631"/>
      <c r="G113" s="631"/>
      <c r="H113" s="631"/>
      <c r="I113" s="631"/>
    </row>
    <row r="114" spans="1:9" s="17" customFormat="1" ht="16.5" customHeight="1" x14ac:dyDescent="0.2">
      <c r="A114" s="15"/>
      <c r="B114" s="21"/>
      <c r="C114" s="21"/>
      <c r="D114" s="21"/>
      <c r="E114" s="21"/>
      <c r="F114" s="21"/>
      <c r="G114" s="22"/>
      <c r="H114" s="15"/>
      <c r="I114" s="15"/>
    </row>
    <row r="115" spans="1:9" s="17" customFormat="1" ht="16.5" customHeight="1" x14ac:dyDescent="0.2">
      <c r="A115" s="20"/>
      <c r="B115" s="603" t="s">
        <v>379</v>
      </c>
      <c r="C115" s="603"/>
      <c r="D115" s="603"/>
      <c r="E115" s="603"/>
      <c r="F115" s="603"/>
      <c r="G115" s="603"/>
      <c r="H115" s="603"/>
      <c r="I115" s="603"/>
    </row>
    <row r="116" spans="1:9" s="17" customFormat="1" ht="16.5" customHeight="1" x14ac:dyDescent="0.2">
      <c r="A116" s="603" t="s">
        <v>380</v>
      </c>
      <c r="B116" s="603"/>
      <c r="C116" s="603"/>
      <c r="D116" s="603"/>
      <c r="E116" s="603"/>
      <c r="F116" s="603"/>
      <c r="G116" s="603"/>
      <c r="H116" s="603"/>
      <c r="I116" s="603"/>
    </row>
    <row r="117" spans="1:9" s="17" customFormat="1" ht="16.5" customHeight="1" x14ac:dyDescent="0.2">
      <c r="A117" s="603" t="s">
        <v>491</v>
      </c>
      <c r="B117" s="603"/>
      <c r="C117" s="603"/>
      <c r="D117" s="603"/>
      <c r="E117" s="603"/>
      <c r="F117" s="603"/>
      <c r="G117" s="603"/>
      <c r="H117" s="603"/>
      <c r="I117" s="603"/>
    </row>
    <row r="118" spans="1:9" s="17" customFormat="1" ht="16.5" customHeight="1" x14ac:dyDescent="0.2">
      <c r="A118" s="603" t="s">
        <v>381</v>
      </c>
      <c r="B118" s="603"/>
      <c r="C118" s="603"/>
      <c r="D118" s="603"/>
      <c r="E118" s="603"/>
      <c r="F118" s="603"/>
      <c r="G118" s="603"/>
      <c r="H118" s="603"/>
      <c r="I118" s="603"/>
    </row>
    <row r="119" spans="1:9" s="17" customFormat="1" ht="16.5" customHeight="1" x14ac:dyDescent="0.2">
      <c r="A119" s="603" t="s">
        <v>382</v>
      </c>
      <c r="B119" s="603"/>
      <c r="C119" s="603"/>
      <c r="D119" s="603"/>
      <c r="E119" s="603"/>
      <c r="F119" s="603"/>
      <c r="G119" s="603"/>
      <c r="H119" s="603"/>
      <c r="I119" s="603"/>
    </row>
    <row r="120" spans="1:9" s="17" customFormat="1" ht="16.5" customHeight="1" x14ac:dyDescent="0.2">
      <c r="A120" s="603" t="s">
        <v>393</v>
      </c>
      <c r="B120" s="603"/>
      <c r="C120" s="603"/>
      <c r="D120" s="603"/>
      <c r="E120" s="603"/>
      <c r="F120" s="603"/>
      <c r="G120" s="603"/>
      <c r="H120" s="603"/>
      <c r="I120" s="603"/>
    </row>
    <row r="121" spans="1:9" s="17" customFormat="1" ht="16.5" customHeight="1" x14ac:dyDescent="0.2">
      <c r="A121" s="603" t="s">
        <v>394</v>
      </c>
      <c r="B121" s="603"/>
      <c r="C121" s="603"/>
      <c r="D121" s="603"/>
      <c r="E121" s="603"/>
      <c r="F121" s="603"/>
      <c r="G121" s="603"/>
      <c r="H121" s="603"/>
      <c r="I121" s="603"/>
    </row>
    <row r="122" spans="1:9" s="17" customFormat="1" ht="16.5" customHeight="1" x14ac:dyDescent="0.2">
      <c r="A122" s="20" t="s">
        <v>570</v>
      </c>
      <c r="B122" s="20"/>
      <c r="C122" s="20"/>
      <c r="D122" s="20"/>
      <c r="E122" s="20"/>
      <c r="F122" s="20"/>
      <c r="G122" s="20"/>
      <c r="H122" s="20"/>
      <c r="I122" s="20"/>
    </row>
    <row r="123" spans="1:9" s="17" customFormat="1" ht="16.5" customHeight="1" x14ac:dyDescent="0.2">
      <c r="A123" s="634" t="s">
        <v>395</v>
      </c>
      <c r="B123" s="634"/>
      <c r="C123" s="634"/>
      <c r="D123" s="634"/>
      <c r="E123" s="634"/>
      <c r="F123" s="634"/>
      <c r="G123" s="634"/>
      <c r="H123" s="634"/>
      <c r="I123" s="634"/>
    </row>
    <row r="124" spans="1:9" s="17" customFormat="1" ht="16.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s="17" customFormat="1" ht="16.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s="17" customFormat="1" ht="16.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s="17" customFormat="1" ht="16.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s="17" customFormat="1" ht="16.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s="17" customFormat="1" ht="16.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s="17" customFormat="1" ht="16.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s="17" customFormat="1" ht="16.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s="17" customFormat="1" ht="16.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s="17" customFormat="1" ht="16.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s="17" customFormat="1" ht="16.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s="17" customFormat="1" ht="16.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s="17" customFormat="1" ht="16.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s="17" customFormat="1" ht="16.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s="17" customFormat="1" ht="16.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s="17" customFormat="1" ht="16.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s="17" customFormat="1" ht="16.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s="17" customFormat="1" ht="16.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s="17" customFormat="1" ht="16.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s="17" customFormat="1" ht="16.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s="17" customFormat="1" ht="16.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s="17" customFormat="1" ht="16.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s="17" customFormat="1" ht="16.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s="17" customFormat="1" ht="16.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s="17" customFormat="1" ht="16.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s="17" customFormat="1" ht="16.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s="17" customFormat="1" ht="16.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s="17" customFormat="1" ht="16.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s="17" customFormat="1" ht="16.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s="17" customFormat="1" ht="16.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s="17" customFormat="1" ht="16.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s="17" customFormat="1" ht="16.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s="17" customFormat="1" ht="16.5" customHeight="1" x14ac:dyDescent="0.2">
      <c r="A156" s="20"/>
      <c r="B156" s="20"/>
      <c r="C156" s="20"/>
      <c r="D156" s="20"/>
      <c r="E156" s="20"/>
      <c r="F156" s="20"/>
      <c r="G156" s="20"/>
      <c r="H156" s="20"/>
    </row>
    <row r="157" spans="1:9" s="17" customFormat="1" ht="16.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s="17" customFormat="1" ht="16.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s="17" customFormat="1" ht="16.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s="17" customFormat="1" ht="16.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s="17" customFormat="1" ht="16.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s="17" customFormat="1" ht="16.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s="17" customFormat="1" ht="16.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s="17" customFormat="1" ht="16.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s="17" customFormat="1" ht="16.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s="17" customFormat="1" ht="16.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s="17" customFormat="1" ht="16.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96">
        <v>2</v>
      </c>
    </row>
    <row r="168" spans="1:9" s="17" customFormat="1" ht="16.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s="17" customFormat="1" ht="16.5" customHeight="1" x14ac:dyDescent="0.2">
      <c r="A169" s="20"/>
      <c r="B169" s="20"/>
      <c r="C169" s="20"/>
      <c r="D169" s="20"/>
      <c r="E169" s="20"/>
      <c r="F169" s="20"/>
      <c r="G169" s="20"/>
      <c r="H169" s="20"/>
    </row>
    <row r="170" spans="1:9" s="17" customFormat="1" ht="16.5" customHeight="1" x14ac:dyDescent="0.2">
      <c r="A170" s="635" t="s">
        <v>47</v>
      </c>
      <c r="B170" s="635"/>
      <c r="C170" s="635"/>
      <c r="D170" s="635"/>
      <c r="E170" s="635"/>
      <c r="F170" s="635"/>
      <c r="G170" s="635"/>
      <c r="H170" s="635"/>
      <c r="I170" s="635"/>
    </row>
    <row r="171" spans="1:9" s="17" customFormat="1" ht="16.5" customHeight="1" x14ac:dyDescent="0.2">
      <c r="A171" s="25"/>
      <c r="B171" s="25"/>
      <c r="C171" s="25"/>
      <c r="D171" s="25"/>
      <c r="E171" s="25"/>
      <c r="F171" s="25"/>
      <c r="G171" s="25"/>
      <c r="H171" s="25"/>
      <c r="I171" s="25"/>
    </row>
    <row r="172" spans="1:9" s="17" customFormat="1" ht="16.5" customHeight="1" x14ac:dyDescent="0.2">
      <c r="A172" s="20"/>
      <c r="B172" s="603" t="s">
        <v>574</v>
      </c>
      <c r="C172" s="603"/>
      <c r="D172" s="603"/>
      <c r="E172" s="603"/>
      <c r="F172" s="603"/>
      <c r="G172" s="603"/>
      <c r="H172" s="603"/>
      <c r="I172" s="603"/>
    </row>
    <row r="173" spans="1:9" s="17" customFormat="1" ht="16.5" customHeight="1" x14ac:dyDescent="0.2">
      <c r="A173" s="603" t="s">
        <v>705</v>
      </c>
      <c r="B173" s="603"/>
      <c r="C173" s="603"/>
      <c r="D173" s="603"/>
      <c r="E173" s="603"/>
      <c r="F173" s="603"/>
      <c r="G173" s="603"/>
      <c r="H173" s="603"/>
      <c r="I173" s="603"/>
    </row>
    <row r="174" spans="1:9" s="17" customFormat="1" ht="16.5" customHeight="1" x14ac:dyDescent="0.2">
      <c r="A174" s="603" t="s">
        <v>706</v>
      </c>
      <c r="B174" s="603"/>
      <c r="C174" s="603"/>
      <c r="D174" s="603"/>
      <c r="E174" s="603"/>
      <c r="F174" s="603"/>
      <c r="G174" s="603"/>
      <c r="H174" s="603"/>
      <c r="I174" s="603"/>
    </row>
    <row r="175" spans="1:9" s="17" customFormat="1" ht="16.5" customHeight="1" x14ac:dyDescent="0.2">
      <c r="A175" s="21"/>
      <c r="B175" s="21"/>
      <c r="C175" s="21"/>
      <c r="D175" s="21"/>
      <c r="E175" s="21"/>
      <c r="F175" s="21"/>
      <c r="G175" s="21"/>
      <c r="H175" s="21"/>
      <c r="I175" s="21"/>
    </row>
    <row r="176" spans="1:9" s="17" customFormat="1" ht="16.5" customHeight="1" x14ac:dyDescent="0.2">
      <c r="A176" s="26" t="s">
        <v>48</v>
      </c>
      <c r="B176" s="615" t="s">
        <v>49</v>
      </c>
      <c r="C176" s="616"/>
      <c r="D176" s="423" t="s">
        <v>50</v>
      </c>
      <c r="E176" s="409" t="s">
        <v>51</v>
      </c>
      <c r="F176" s="409" t="s">
        <v>50</v>
      </c>
      <c r="G176" s="619" t="s">
        <v>52</v>
      </c>
      <c r="H176" s="620"/>
      <c r="I176" s="613" t="s">
        <v>53</v>
      </c>
    </row>
    <row r="177" spans="1:9" s="17" customFormat="1" ht="16.5" customHeight="1" x14ac:dyDescent="0.2">
      <c r="A177" s="27" t="s">
        <v>54</v>
      </c>
      <c r="B177" s="617"/>
      <c r="C177" s="618"/>
      <c r="D177" s="422" t="s">
        <v>537</v>
      </c>
      <c r="E177" s="28" t="s">
        <v>571</v>
      </c>
      <c r="F177" s="28" t="s">
        <v>571</v>
      </c>
      <c r="G177" s="29" t="s">
        <v>55</v>
      </c>
      <c r="H177" s="29" t="s">
        <v>56</v>
      </c>
      <c r="I177" s="614"/>
    </row>
    <row r="178" spans="1:9" s="17" customFormat="1" ht="16.5" customHeight="1" x14ac:dyDescent="0.2">
      <c r="A178" s="30">
        <v>1</v>
      </c>
      <c r="B178" s="646">
        <v>2</v>
      </c>
      <c r="C178" s="647"/>
      <c r="D178" s="421">
        <v>3</v>
      </c>
      <c r="E178" s="31">
        <v>4</v>
      </c>
      <c r="F178" s="420">
        <v>5</v>
      </c>
      <c r="G178" s="31">
        <v>6</v>
      </c>
      <c r="H178" s="31">
        <v>7</v>
      </c>
      <c r="I178" s="32">
        <v>8</v>
      </c>
    </row>
    <row r="179" spans="1:9" s="17" customFormat="1" ht="16.5" customHeight="1" x14ac:dyDescent="0.2">
      <c r="A179" s="182">
        <v>16019</v>
      </c>
      <c r="B179" s="638" t="s">
        <v>57</v>
      </c>
      <c r="C179" s="639"/>
      <c r="D179" s="539">
        <v>15</v>
      </c>
      <c r="E179" s="376">
        <v>20</v>
      </c>
      <c r="F179" s="525" t="s">
        <v>697</v>
      </c>
      <c r="G179" s="170">
        <f t="shared" ref="G179:G212" si="0">F179/D179</f>
        <v>1.3333333333333333</v>
      </c>
      <c r="H179" s="170">
        <f t="shared" ref="H179:H212" si="1">F179/E179</f>
        <v>1</v>
      </c>
      <c r="I179" s="155">
        <f>F179/F212</f>
        <v>9.0620752152242856E-3</v>
      </c>
    </row>
    <row r="180" spans="1:9" s="17" customFormat="1" ht="16.5" customHeight="1" x14ac:dyDescent="0.2">
      <c r="A180" s="98">
        <v>163</v>
      </c>
      <c r="B180" s="644" t="s">
        <v>58</v>
      </c>
      <c r="C180" s="645"/>
      <c r="D180" s="526">
        <f>D181+D182+D183</f>
        <v>58</v>
      </c>
      <c r="E180" s="377">
        <f>E181+E182+E183</f>
        <v>61</v>
      </c>
      <c r="F180" s="526">
        <f>F181+F182+F183</f>
        <v>58</v>
      </c>
      <c r="G180" s="170">
        <f t="shared" si="0"/>
        <v>1</v>
      </c>
      <c r="H180" s="170">
        <f t="shared" si="1"/>
        <v>0.95081967213114749</v>
      </c>
      <c r="I180" s="52">
        <f>F180/F212</f>
        <v>2.6280018124150432E-2</v>
      </c>
    </row>
    <row r="181" spans="1:9" s="17" customFormat="1" ht="16.5" customHeight="1" x14ac:dyDescent="0.2">
      <c r="A181" s="250">
        <v>16319</v>
      </c>
      <c r="B181" s="648" t="s">
        <v>59</v>
      </c>
      <c r="C181" s="649"/>
      <c r="D181" s="427" t="s">
        <v>560</v>
      </c>
      <c r="E181" s="375">
        <v>59</v>
      </c>
      <c r="F181" s="427" t="s">
        <v>698</v>
      </c>
      <c r="G181" s="165">
        <f t="shared" si="0"/>
        <v>0.98245614035087714</v>
      </c>
      <c r="H181" s="165">
        <f t="shared" si="1"/>
        <v>0.94915254237288138</v>
      </c>
      <c r="I181" s="81">
        <f>F181/F180</f>
        <v>0.96551724137931039</v>
      </c>
    </row>
    <row r="182" spans="1:9" s="17" customFormat="1" ht="16.5" customHeight="1" x14ac:dyDescent="0.2">
      <c r="A182" s="250">
        <v>16519</v>
      </c>
      <c r="B182" s="648" t="s">
        <v>60</v>
      </c>
      <c r="C182" s="649"/>
      <c r="D182" s="428" t="s">
        <v>499</v>
      </c>
      <c r="E182" s="375">
        <v>1</v>
      </c>
      <c r="F182" s="428" t="s">
        <v>61</v>
      </c>
      <c r="G182" s="165" t="e">
        <f t="shared" si="0"/>
        <v>#DIV/0!</v>
      </c>
      <c r="H182" s="165">
        <f t="shared" si="1"/>
        <v>1</v>
      </c>
      <c r="I182" s="81">
        <f>F182/F180</f>
        <v>1.7241379310344827E-2</v>
      </c>
    </row>
    <row r="183" spans="1:9" s="17" customFormat="1" ht="16.5" customHeight="1" x14ac:dyDescent="0.2">
      <c r="A183" s="250">
        <v>16559</v>
      </c>
      <c r="B183" s="648" t="s">
        <v>62</v>
      </c>
      <c r="C183" s="649"/>
      <c r="D183" s="429">
        <v>1</v>
      </c>
      <c r="E183" s="375">
        <v>1</v>
      </c>
      <c r="F183" s="429">
        <v>1</v>
      </c>
      <c r="G183" s="165">
        <f t="shared" si="0"/>
        <v>1</v>
      </c>
      <c r="H183" s="165">
        <f t="shared" si="1"/>
        <v>1</v>
      </c>
      <c r="I183" s="81">
        <f>F183/F180</f>
        <v>1.7241379310344827E-2</v>
      </c>
    </row>
    <row r="184" spans="1:9" s="17" customFormat="1" ht="16.5" customHeight="1" x14ac:dyDescent="0.2">
      <c r="A184" s="182">
        <v>16637</v>
      </c>
      <c r="B184" s="638" t="s">
        <v>63</v>
      </c>
      <c r="C184" s="639"/>
      <c r="D184" s="527">
        <v>24</v>
      </c>
      <c r="E184" s="378">
        <v>27</v>
      </c>
      <c r="F184" s="527">
        <v>24</v>
      </c>
      <c r="G184" s="170">
        <f t="shared" si="0"/>
        <v>1</v>
      </c>
      <c r="H184" s="170">
        <f t="shared" si="1"/>
        <v>0.88888888888888884</v>
      </c>
      <c r="I184" s="52">
        <f>F184/F212</f>
        <v>1.0874490258269144E-2</v>
      </c>
    </row>
    <row r="185" spans="1:9" s="17" customFormat="1" ht="16.5" customHeight="1" x14ac:dyDescent="0.2">
      <c r="A185" s="182">
        <v>16795</v>
      </c>
      <c r="B185" s="638" t="s">
        <v>64</v>
      </c>
      <c r="C185" s="639"/>
      <c r="D185" s="532">
        <v>3</v>
      </c>
      <c r="E185" s="378">
        <v>4</v>
      </c>
      <c r="F185" s="527">
        <v>4</v>
      </c>
      <c r="G185" s="170">
        <f t="shared" si="0"/>
        <v>1.3333333333333333</v>
      </c>
      <c r="H185" s="170">
        <f t="shared" si="1"/>
        <v>1</v>
      </c>
      <c r="I185" s="52">
        <f>F185/F212</f>
        <v>1.8124150430448573E-3</v>
      </c>
    </row>
    <row r="186" spans="1:9" s="17" customFormat="1" ht="16.5" customHeight="1" x14ac:dyDescent="0.2">
      <c r="A186" s="182">
        <v>16919</v>
      </c>
      <c r="B186" s="638" t="s">
        <v>65</v>
      </c>
      <c r="C186" s="639"/>
      <c r="D186" s="532">
        <v>70</v>
      </c>
      <c r="E186" s="378">
        <v>35</v>
      </c>
      <c r="F186" s="527">
        <v>66</v>
      </c>
      <c r="G186" s="170">
        <f t="shared" si="0"/>
        <v>0.94285714285714284</v>
      </c>
      <c r="H186" s="170">
        <f t="shared" si="1"/>
        <v>1.8857142857142857</v>
      </c>
      <c r="I186" s="52">
        <f>F186/F212</f>
        <v>2.9904848210240146E-2</v>
      </c>
    </row>
    <row r="187" spans="1:9" s="17" customFormat="1" ht="16.5" customHeight="1" x14ac:dyDescent="0.2">
      <c r="A187" s="182">
        <v>17519</v>
      </c>
      <c r="B187" s="638" t="s">
        <v>25</v>
      </c>
      <c r="C187" s="639"/>
      <c r="D187" s="532">
        <v>31</v>
      </c>
      <c r="E187" s="378">
        <v>33</v>
      </c>
      <c r="F187" s="528" t="s">
        <v>34</v>
      </c>
      <c r="G187" s="170">
        <f t="shared" si="0"/>
        <v>1.032258064516129</v>
      </c>
      <c r="H187" s="170">
        <f t="shared" si="1"/>
        <v>0.96969696969696972</v>
      </c>
      <c r="I187" s="52">
        <f>F187/F212</f>
        <v>1.4499320344358859E-2</v>
      </c>
    </row>
    <row r="188" spans="1:9" s="17" customFormat="1" ht="16.5" customHeight="1" x14ac:dyDescent="0.2">
      <c r="A188" s="182">
        <v>180</v>
      </c>
      <c r="B188" s="644" t="s">
        <v>66</v>
      </c>
      <c r="C188" s="645"/>
      <c r="D188" s="529">
        <f>D189+D190</f>
        <v>49</v>
      </c>
      <c r="E188" s="379">
        <f>E189+E190</f>
        <v>55</v>
      </c>
      <c r="F188" s="529">
        <f>F189+F190</f>
        <v>53</v>
      </c>
      <c r="G188" s="170">
        <f t="shared" si="0"/>
        <v>1.0816326530612246</v>
      </c>
      <c r="H188" s="170">
        <f t="shared" si="1"/>
        <v>0.96363636363636362</v>
      </c>
      <c r="I188" s="52">
        <f>F188/F212</f>
        <v>2.401449932034436E-2</v>
      </c>
    </row>
    <row r="189" spans="1:9" s="17" customFormat="1" ht="16.5" customHeight="1" x14ac:dyDescent="0.2">
      <c r="A189" s="36">
        <v>18019</v>
      </c>
      <c r="B189" s="636" t="s">
        <v>67</v>
      </c>
      <c r="C189" s="637"/>
      <c r="D189" s="428" t="s">
        <v>561</v>
      </c>
      <c r="E189" s="37">
        <v>14</v>
      </c>
      <c r="F189" s="428" t="s">
        <v>699</v>
      </c>
      <c r="G189" s="38">
        <f t="shared" si="0"/>
        <v>0.9285714285714286</v>
      </c>
      <c r="H189" s="38">
        <f t="shared" si="1"/>
        <v>0.9285714285714286</v>
      </c>
      <c r="I189" s="39">
        <f>F189/F188</f>
        <v>0.24528301886792453</v>
      </c>
    </row>
    <row r="190" spans="1:9" s="17" customFormat="1" ht="16.5" customHeight="1" x14ac:dyDescent="0.2">
      <c r="A190" s="36">
        <v>18295</v>
      </c>
      <c r="B190" s="636" t="s">
        <v>68</v>
      </c>
      <c r="C190" s="637"/>
      <c r="D190" s="428" t="s">
        <v>42</v>
      </c>
      <c r="E190" s="37">
        <v>41</v>
      </c>
      <c r="F190" s="428" t="s">
        <v>489</v>
      </c>
      <c r="G190" s="38">
        <f t="shared" si="0"/>
        <v>1.1428571428571428</v>
      </c>
      <c r="H190" s="38">
        <f t="shared" si="1"/>
        <v>0.97560975609756095</v>
      </c>
      <c r="I190" s="39">
        <f>F190/F188</f>
        <v>0.75471698113207553</v>
      </c>
    </row>
    <row r="191" spans="1:9" s="17" customFormat="1" ht="16.5" customHeight="1" x14ac:dyDescent="0.2">
      <c r="A191" s="182">
        <v>19595</v>
      </c>
      <c r="B191" s="638" t="s">
        <v>69</v>
      </c>
      <c r="C191" s="639"/>
      <c r="D191" s="532">
        <v>7</v>
      </c>
      <c r="E191" s="378">
        <v>8</v>
      </c>
      <c r="F191" s="528" t="s">
        <v>700</v>
      </c>
      <c r="G191" s="170">
        <f t="shared" si="0"/>
        <v>1.1428571428571428</v>
      </c>
      <c r="H191" s="170">
        <f t="shared" si="1"/>
        <v>1</v>
      </c>
      <c r="I191" s="52">
        <f>F191/F212</f>
        <v>3.6248300860897147E-3</v>
      </c>
    </row>
    <row r="192" spans="1:9" s="17" customFormat="1" ht="16.5" customHeight="1" x14ac:dyDescent="0.2">
      <c r="A192" s="182">
        <v>47019</v>
      </c>
      <c r="B192" s="638" t="s">
        <v>70</v>
      </c>
      <c r="C192" s="639"/>
      <c r="D192" s="532">
        <v>23</v>
      </c>
      <c r="E192" s="378">
        <v>25</v>
      </c>
      <c r="F192" s="528" t="s">
        <v>697</v>
      </c>
      <c r="G192" s="170">
        <f t="shared" si="0"/>
        <v>0.86956521739130432</v>
      </c>
      <c r="H192" s="170">
        <f t="shared" si="1"/>
        <v>0.8</v>
      </c>
      <c r="I192" s="52">
        <f>F192/F212</f>
        <v>9.0620752152242856E-3</v>
      </c>
    </row>
    <row r="193" spans="1:9" s="17" customFormat="1" ht="16.5" customHeight="1" x14ac:dyDescent="0.2">
      <c r="A193" s="182">
        <v>48019</v>
      </c>
      <c r="B193" s="638" t="s">
        <v>71</v>
      </c>
      <c r="C193" s="639"/>
      <c r="D193" s="532">
        <v>6</v>
      </c>
      <c r="E193" s="378">
        <v>6</v>
      </c>
      <c r="F193" s="528" t="s">
        <v>473</v>
      </c>
      <c r="G193" s="170">
        <f t="shared" si="0"/>
        <v>1</v>
      </c>
      <c r="H193" s="170">
        <f t="shared" si="1"/>
        <v>1</v>
      </c>
      <c r="I193" s="52">
        <f>F193/F212</f>
        <v>2.7186225645672861E-3</v>
      </c>
    </row>
    <row r="194" spans="1:9" s="17" customFormat="1" ht="16.5" customHeight="1" x14ac:dyDescent="0.2">
      <c r="A194" s="182">
        <v>650</v>
      </c>
      <c r="B194" s="638" t="s">
        <v>72</v>
      </c>
      <c r="C194" s="639"/>
      <c r="D194" s="530">
        <f>D195+D196</f>
        <v>22</v>
      </c>
      <c r="E194" s="378">
        <f>E195+E196</f>
        <v>23</v>
      </c>
      <c r="F194" s="530">
        <f>F195+F196</f>
        <v>22</v>
      </c>
      <c r="G194" s="170">
        <f t="shared" si="0"/>
        <v>1</v>
      </c>
      <c r="H194" s="170">
        <f t="shared" si="1"/>
        <v>0.95652173913043481</v>
      </c>
      <c r="I194" s="52">
        <f>F194/F212</f>
        <v>9.9682827367467142E-3</v>
      </c>
    </row>
    <row r="195" spans="1:9" s="17" customFormat="1" ht="16.5" customHeight="1" x14ac:dyDescent="0.2">
      <c r="A195" s="36">
        <v>65095</v>
      </c>
      <c r="B195" s="636" t="s">
        <v>375</v>
      </c>
      <c r="C195" s="637"/>
      <c r="D195" s="428" t="s">
        <v>534</v>
      </c>
      <c r="E195" s="37">
        <v>18</v>
      </c>
      <c r="F195" s="428" t="s">
        <v>701</v>
      </c>
      <c r="G195" s="38">
        <f t="shared" si="0"/>
        <v>1.0588235294117647</v>
      </c>
      <c r="H195" s="38">
        <f t="shared" si="1"/>
        <v>1</v>
      </c>
      <c r="I195" s="39">
        <f>F195/F194</f>
        <v>0.81818181818181823</v>
      </c>
    </row>
    <row r="196" spans="1:9" s="17" customFormat="1" ht="16.5" customHeight="1" x14ac:dyDescent="0.2">
      <c r="A196" s="36">
        <v>65495</v>
      </c>
      <c r="B196" s="636" t="s">
        <v>376</v>
      </c>
      <c r="C196" s="637"/>
      <c r="D196" s="428" t="s">
        <v>562</v>
      </c>
      <c r="E196" s="37">
        <v>5</v>
      </c>
      <c r="F196" s="428" t="s">
        <v>702</v>
      </c>
      <c r="G196" s="38">
        <f t="shared" si="0"/>
        <v>0.8</v>
      </c>
      <c r="H196" s="38">
        <f t="shared" si="1"/>
        <v>0.8</v>
      </c>
      <c r="I196" s="39">
        <f>F196/F194</f>
        <v>0.18181818181818182</v>
      </c>
    </row>
    <row r="197" spans="1:9" s="17" customFormat="1" ht="16.5" customHeight="1" x14ac:dyDescent="0.2">
      <c r="A197" s="182">
        <v>66100</v>
      </c>
      <c r="B197" s="638" t="s">
        <v>73</v>
      </c>
      <c r="C197" s="639"/>
      <c r="D197" s="528" t="s">
        <v>563</v>
      </c>
      <c r="E197" s="378">
        <v>12</v>
      </c>
      <c r="F197" s="528" t="s">
        <v>703</v>
      </c>
      <c r="G197" s="170">
        <f t="shared" si="0"/>
        <v>0.91666666666666663</v>
      </c>
      <c r="H197" s="170">
        <f t="shared" si="1"/>
        <v>0.91666666666666663</v>
      </c>
      <c r="I197" s="52">
        <f>F197/F212</f>
        <v>4.9841413683733571E-3</v>
      </c>
    </row>
    <row r="198" spans="1:9" s="17" customFormat="1" ht="16.5" customHeight="1" x14ac:dyDescent="0.2">
      <c r="A198" s="182">
        <v>730</v>
      </c>
      <c r="B198" s="638" t="s">
        <v>74</v>
      </c>
      <c r="C198" s="639"/>
      <c r="D198" s="531">
        <f>D199+D200</f>
        <v>344</v>
      </c>
      <c r="E198" s="380">
        <f>E199+E200</f>
        <v>358</v>
      </c>
      <c r="F198" s="531">
        <f>F199+F200</f>
        <v>338</v>
      </c>
      <c r="G198" s="170">
        <f t="shared" si="0"/>
        <v>0.98255813953488369</v>
      </c>
      <c r="H198" s="170">
        <f t="shared" si="1"/>
        <v>0.94413407821229045</v>
      </c>
      <c r="I198" s="52">
        <f>F198/F212</f>
        <v>0.15314907113729043</v>
      </c>
    </row>
    <row r="199" spans="1:9" s="17" customFormat="1" ht="16.5" customHeight="1" x14ac:dyDescent="0.2">
      <c r="A199" s="36">
        <v>73028</v>
      </c>
      <c r="B199" s="636" t="s">
        <v>75</v>
      </c>
      <c r="C199" s="637"/>
      <c r="D199" s="540">
        <v>4</v>
      </c>
      <c r="E199" s="37">
        <v>4</v>
      </c>
      <c r="F199" s="429">
        <v>4</v>
      </c>
      <c r="G199" s="38">
        <f t="shared" si="0"/>
        <v>1</v>
      </c>
      <c r="H199" s="38">
        <f t="shared" si="1"/>
        <v>1</v>
      </c>
      <c r="I199" s="39">
        <f>F199/F198</f>
        <v>1.1834319526627219E-2</v>
      </c>
    </row>
    <row r="200" spans="1:9" s="17" customFormat="1" ht="16.5" customHeight="1" x14ac:dyDescent="0.2">
      <c r="A200" s="36">
        <v>74100</v>
      </c>
      <c r="B200" s="636" t="s">
        <v>76</v>
      </c>
      <c r="C200" s="637"/>
      <c r="D200" s="540">
        <v>340</v>
      </c>
      <c r="E200" s="37">
        <v>354</v>
      </c>
      <c r="F200" s="428" t="s">
        <v>704</v>
      </c>
      <c r="G200" s="38">
        <f t="shared" si="0"/>
        <v>0.98235294117647054</v>
      </c>
      <c r="H200" s="38">
        <f t="shared" si="1"/>
        <v>0.94350282485875703</v>
      </c>
      <c r="I200" s="39">
        <f>F200/F198</f>
        <v>0.98816568047337283</v>
      </c>
    </row>
    <row r="201" spans="1:9" s="17" customFormat="1" ht="16.5" customHeight="1" x14ac:dyDescent="0.2">
      <c r="A201" s="98">
        <v>75590</v>
      </c>
      <c r="B201" s="640" t="s">
        <v>77</v>
      </c>
      <c r="C201" s="641"/>
      <c r="D201" s="532">
        <v>19</v>
      </c>
      <c r="E201" s="378">
        <f>E202+E203</f>
        <v>30</v>
      </c>
      <c r="F201" s="532">
        <f>F202+F203</f>
        <v>18</v>
      </c>
      <c r="G201" s="170">
        <f t="shared" si="0"/>
        <v>0.94736842105263153</v>
      </c>
      <c r="H201" s="170">
        <f t="shared" si="1"/>
        <v>0.6</v>
      </c>
      <c r="I201" s="52">
        <f>F201/F212</f>
        <v>8.155867693701857E-3</v>
      </c>
    </row>
    <row r="202" spans="1:9" s="17" customFormat="1" ht="16.5" customHeight="1" x14ac:dyDescent="0.2">
      <c r="A202" s="568">
        <v>75591</v>
      </c>
      <c r="B202" s="524" t="s">
        <v>572</v>
      </c>
      <c r="C202" s="569"/>
      <c r="D202" s="535">
        <v>0</v>
      </c>
      <c r="E202" s="567">
        <v>20</v>
      </c>
      <c r="F202" s="535">
        <v>18</v>
      </c>
      <c r="G202" s="170" t="e">
        <f t="shared" si="0"/>
        <v>#DIV/0!</v>
      </c>
      <c r="H202" s="170">
        <f t="shared" si="1"/>
        <v>0.9</v>
      </c>
      <c r="I202" s="52">
        <f>F202/F212</f>
        <v>8.155867693701857E-3</v>
      </c>
    </row>
    <row r="203" spans="1:9" s="17" customFormat="1" ht="16.5" customHeight="1" x14ac:dyDescent="0.2">
      <c r="A203" s="568">
        <v>75592</v>
      </c>
      <c r="B203" s="524" t="s">
        <v>573</v>
      </c>
      <c r="C203" s="569"/>
      <c r="D203" s="535">
        <v>0</v>
      </c>
      <c r="E203" s="567">
        <v>10</v>
      </c>
      <c r="F203" s="535"/>
      <c r="G203" s="170" t="e">
        <f t="shared" si="0"/>
        <v>#DIV/0!</v>
      </c>
      <c r="H203" s="170">
        <f t="shared" si="1"/>
        <v>0</v>
      </c>
      <c r="I203" s="52">
        <f>F203/F212</f>
        <v>0</v>
      </c>
    </row>
    <row r="204" spans="1:9" s="17" customFormat="1" ht="16.5" customHeight="1" x14ac:dyDescent="0.2">
      <c r="A204" s="182">
        <v>850</v>
      </c>
      <c r="B204" s="638" t="s">
        <v>40</v>
      </c>
      <c r="C204" s="639"/>
      <c r="D204" s="532">
        <f>D205+D206</f>
        <v>52</v>
      </c>
      <c r="E204" s="381">
        <f>E205+E206</f>
        <v>57</v>
      </c>
      <c r="F204" s="533">
        <f>F205+F206</f>
        <v>42</v>
      </c>
      <c r="G204" s="170">
        <f t="shared" si="0"/>
        <v>0.80769230769230771</v>
      </c>
      <c r="H204" s="170">
        <f t="shared" si="1"/>
        <v>0.73684210526315785</v>
      </c>
      <c r="I204" s="52">
        <f>F204/F212</f>
        <v>1.9030357951971E-2</v>
      </c>
    </row>
    <row r="205" spans="1:9" s="17" customFormat="1" ht="16.5" customHeight="1" x14ac:dyDescent="0.2">
      <c r="A205" s="359">
        <v>85019</v>
      </c>
      <c r="B205" s="360" t="s">
        <v>377</v>
      </c>
      <c r="C205" s="355"/>
      <c r="D205" s="217">
        <v>35</v>
      </c>
      <c r="E205" s="217">
        <v>35</v>
      </c>
      <c r="F205" s="535">
        <v>28</v>
      </c>
      <c r="G205" s="364">
        <f>F205/D205</f>
        <v>0.8</v>
      </c>
      <c r="H205" s="364">
        <f>F205/E205</f>
        <v>0.8</v>
      </c>
      <c r="I205" s="39">
        <f>F205/F204</f>
        <v>0.66666666666666663</v>
      </c>
    </row>
    <row r="206" spans="1:9" s="17" customFormat="1" ht="16.5" customHeight="1" x14ac:dyDescent="0.2">
      <c r="A206" s="359">
        <v>85184</v>
      </c>
      <c r="B206" s="636" t="s">
        <v>378</v>
      </c>
      <c r="C206" s="637"/>
      <c r="D206" s="40">
        <v>17</v>
      </c>
      <c r="E206" s="40">
        <v>22</v>
      </c>
      <c r="F206" s="430">
        <v>14</v>
      </c>
      <c r="G206" s="364">
        <f>F206/D206</f>
        <v>0.82352941176470584</v>
      </c>
      <c r="H206" s="364">
        <f>F206/E206</f>
        <v>0.63636363636363635</v>
      </c>
      <c r="I206" s="39">
        <f>F206/F204</f>
        <v>0.33333333333333331</v>
      </c>
    </row>
    <row r="207" spans="1:9" s="17" customFormat="1" ht="16.5" customHeight="1" x14ac:dyDescent="0.2">
      <c r="A207" s="182">
        <v>920</v>
      </c>
      <c r="B207" s="638" t="s">
        <v>78</v>
      </c>
      <c r="C207" s="639"/>
      <c r="D207" s="530">
        <f>D208+D209+D210+D211</f>
        <v>1475</v>
      </c>
      <c r="E207" s="378">
        <f>E208+E209+E210+E211</f>
        <v>1457</v>
      </c>
      <c r="F207" s="534">
        <f>F208+F209+F210+F211</f>
        <v>1485</v>
      </c>
      <c r="G207" s="170">
        <f t="shared" si="0"/>
        <v>1.006779661016949</v>
      </c>
      <c r="H207" s="170">
        <f t="shared" si="1"/>
        <v>1.0192175703500344</v>
      </c>
      <c r="I207" s="52">
        <f>F207/F212</f>
        <v>0.67285908473040323</v>
      </c>
    </row>
    <row r="208" spans="1:9" s="17" customFormat="1" ht="16.5" customHeight="1" x14ac:dyDescent="0.2">
      <c r="A208" s="36">
        <v>92095</v>
      </c>
      <c r="B208" s="636" t="s">
        <v>79</v>
      </c>
      <c r="C208" s="637"/>
      <c r="D208" s="541">
        <v>13</v>
      </c>
      <c r="E208" s="37">
        <v>15</v>
      </c>
      <c r="F208" s="536">
        <v>14</v>
      </c>
      <c r="G208" s="38">
        <f t="shared" si="0"/>
        <v>1.0769230769230769</v>
      </c>
      <c r="H208" s="38">
        <f t="shared" si="1"/>
        <v>0.93333333333333335</v>
      </c>
      <c r="I208" s="39">
        <f>F208/F207</f>
        <v>9.427609427609427E-3</v>
      </c>
    </row>
    <row r="209" spans="1:9" s="17" customFormat="1" ht="16.5" customHeight="1" x14ac:dyDescent="0.2">
      <c r="A209" s="36">
        <v>92570</v>
      </c>
      <c r="B209" s="636" t="s">
        <v>80</v>
      </c>
      <c r="C209" s="637"/>
      <c r="D209" s="541">
        <v>69</v>
      </c>
      <c r="E209" s="37">
        <v>90</v>
      </c>
      <c r="F209" s="429">
        <v>91</v>
      </c>
      <c r="G209" s="38">
        <f t="shared" si="0"/>
        <v>1.318840579710145</v>
      </c>
      <c r="H209" s="38">
        <f t="shared" si="1"/>
        <v>1.0111111111111111</v>
      </c>
      <c r="I209" s="39">
        <f>F209/F207</f>
        <v>6.1279461279461281E-2</v>
      </c>
    </row>
    <row r="210" spans="1:9" s="17" customFormat="1" ht="16.5" customHeight="1" x14ac:dyDescent="0.2">
      <c r="A210" s="36">
        <v>93540</v>
      </c>
      <c r="B210" s="636" t="s">
        <v>81</v>
      </c>
      <c r="C210" s="637"/>
      <c r="D210" s="541">
        <v>1002</v>
      </c>
      <c r="E210" s="37">
        <v>975</v>
      </c>
      <c r="F210" s="429">
        <f>74+13+29+40+15+42+70+17+63+75+23+32+19+10+29+58+21+18+27+2+31+46+36+50+88+24+28+18</f>
        <v>998</v>
      </c>
      <c r="G210" s="38">
        <f t="shared" si="0"/>
        <v>0.99600798403193613</v>
      </c>
      <c r="H210" s="38">
        <f t="shared" si="1"/>
        <v>1.0235897435897436</v>
      </c>
      <c r="I210" s="39">
        <f>F210/F207</f>
        <v>0.67205387205387201</v>
      </c>
    </row>
    <row r="211" spans="1:9" s="17" customFormat="1" ht="16.5" customHeight="1" x14ac:dyDescent="0.2">
      <c r="A211" s="36">
        <v>94740</v>
      </c>
      <c r="B211" s="636" t="s">
        <v>82</v>
      </c>
      <c r="C211" s="637"/>
      <c r="D211" s="542">
        <v>391</v>
      </c>
      <c r="E211" s="37">
        <v>377</v>
      </c>
      <c r="F211" s="537">
        <f>137+29+33+61+88+9+25</f>
        <v>382</v>
      </c>
      <c r="G211" s="38">
        <f t="shared" si="0"/>
        <v>0.97698209718670082</v>
      </c>
      <c r="H211" s="38">
        <f t="shared" si="1"/>
        <v>1.0132625994694959</v>
      </c>
      <c r="I211" s="39">
        <f>F211/F207</f>
        <v>0.25723905723905721</v>
      </c>
    </row>
    <row r="212" spans="1:9" s="17" customFormat="1" ht="16.5" customHeight="1" x14ac:dyDescent="0.2">
      <c r="A212" s="182"/>
      <c r="B212" s="638" t="s">
        <v>331</v>
      </c>
      <c r="C212" s="639"/>
      <c r="D212" s="593">
        <f>D179+D180+D184+D185+D186+D187+D188+D191+D192+D193+D194+D197+D198+D201+D204+D207</f>
        <v>2210</v>
      </c>
      <c r="E212" s="593">
        <f>E179+E180+E184+E185+E186+E187+E188+E191+E192+E193+E194+E197+E198+E201+E204+E207</f>
        <v>2211</v>
      </c>
      <c r="F212" s="593">
        <f>F179+F180+F184+F185+F186+F187+F188+F191+F192+F193+F194+F197+F198+F201+F204+F207</f>
        <v>2207</v>
      </c>
      <c r="G212" s="170">
        <f t="shared" si="0"/>
        <v>0.99864253393665159</v>
      </c>
      <c r="H212" s="170">
        <f t="shared" si="1"/>
        <v>0.99819086386250566</v>
      </c>
      <c r="I212" s="52">
        <f>I179+I180+I184+I185+I186+I187+I188+I191+I192+I193+I194+I197+I198+I201+I204+I207</f>
        <v>1</v>
      </c>
    </row>
    <row r="213" spans="1:9" s="17" customFormat="1" ht="16.5" customHeight="1" x14ac:dyDescent="0.2">
      <c r="A213" s="23"/>
      <c r="B213" s="23"/>
      <c r="C213" s="23"/>
      <c r="D213" s="23"/>
      <c r="E213" s="23"/>
      <c r="F213" s="23"/>
      <c r="G213" s="23"/>
      <c r="H213" s="23"/>
      <c r="I213" s="23"/>
    </row>
    <row r="214" spans="1:9" s="17" customFormat="1" ht="16.5" customHeight="1" x14ac:dyDescent="0.2">
      <c r="B214" s="603" t="s">
        <v>396</v>
      </c>
      <c r="C214" s="603"/>
      <c r="D214" s="603"/>
      <c r="E214" s="603"/>
      <c r="F214" s="603"/>
      <c r="G214" s="603"/>
      <c r="H214" s="603"/>
      <c r="I214" s="603"/>
    </row>
    <row r="215" spans="1:9" s="17" customFormat="1" ht="16.5" customHeight="1" x14ac:dyDescent="0.2">
      <c r="A215" s="603" t="s">
        <v>575</v>
      </c>
      <c r="B215" s="603"/>
      <c r="C215" s="603"/>
      <c r="D215" s="603"/>
      <c r="E215" s="603"/>
      <c r="F215" s="603"/>
      <c r="G215" s="603"/>
      <c r="H215" s="603"/>
      <c r="I215" s="603"/>
    </row>
    <row r="216" spans="1:9" s="17" customFormat="1" ht="16.5" customHeight="1" x14ac:dyDescent="0.2">
      <c r="A216" s="21"/>
      <c r="B216" s="21"/>
      <c r="C216" s="21"/>
      <c r="D216" s="21"/>
      <c r="E216" s="21"/>
      <c r="F216" s="21"/>
      <c r="G216" s="21"/>
      <c r="H216" s="21"/>
      <c r="I216" s="21"/>
    </row>
    <row r="217" spans="1:9" s="17" customFormat="1" ht="16.5" customHeight="1" x14ac:dyDescent="0.2">
      <c r="A217" s="21"/>
      <c r="B217" s="21"/>
      <c r="C217" s="21"/>
      <c r="D217" s="21"/>
      <c r="E217" s="21"/>
      <c r="F217" s="21"/>
      <c r="G217" s="21"/>
      <c r="H217" s="21"/>
      <c r="I217" s="21"/>
    </row>
    <row r="218" spans="1:9" s="17" customFormat="1" ht="16.5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</row>
    <row r="219" spans="1:9" s="17" customFormat="1" ht="16.5" customHeight="1" x14ac:dyDescent="0.2">
      <c r="A219" s="21"/>
      <c r="B219" s="21"/>
      <c r="C219" s="21"/>
      <c r="D219" s="21"/>
      <c r="E219" s="21"/>
      <c r="F219" s="21"/>
      <c r="G219" s="21"/>
      <c r="H219" s="21"/>
      <c r="I219" s="440"/>
    </row>
    <row r="220" spans="1:9" s="17" customFormat="1" ht="16.5" customHeight="1" x14ac:dyDescent="0.2">
      <c r="A220" s="21"/>
      <c r="B220" s="21"/>
      <c r="C220" s="21"/>
      <c r="D220" s="21"/>
      <c r="E220" s="21"/>
      <c r="F220" s="21"/>
      <c r="G220" s="21"/>
      <c r="H220" s="21"/>
      <c r="I220" s="440"/>
    </row>
    <row r="221" spans="1:9" s="17" customFormat="1" ht="16.5" customHeight="1" x14ac:dyDescent="0.2">
      <c r="A221" s="21"/>
      <c r="B221" s="21"/>
      <c r="C221" s="21"/>
      <c r="D221" s="21"/>
      <c r="E221" s="21"/>
      <c r="F221" s="21"/>
      <c r="G221" s="21"/>
      <c r="H221" s="21"/>
      <c r="I221" s="440"/>
    </row>
    <row r="222" spans="1:9" s="17" customFormat="1" ht="16.5" customHeight="1" x14ac:dyDescent="0.2">
      <c r="A222" s="21"/>
      <c r="B222" s="21"/>
      <c r="C222" s="21"/>
      <c r="D222" s="21"/>
      <c r="E222" s="21"/>
      <c r="F222" s="21"/>
      <c r="G222" s="21"/>
      <c r="H222" s="21"/>
      <c r="I222" s="440">
        <v>3</v>
      </c>
    </row>
    <row r="223" spans="1:9" s="17" customFormat="1" ht="16.5" customHeight="1" x14ac:dyDescent="0.2">
      <c r="A223" s="21"/>
      <c r="B223" s="21"/>
      <c r="C223" s="21"/>
      <c r="D223" s="21"/>
      <c r="E223" s="21"/>
      <c r="F223" s="21"/>
      <c r="G223" s="21"/>
      <c r="H223" s="21"/>
      <c r="I223" s="41"/>
    </row>
    <row r="224" spans="1:9" s="17" customFormat="1" ht="16.5" customHeight="1" x14ac:dyDescent="0.2">
      <c r="A224" s="21"/>
      <c r="B224" s="21"/>
      <c r="C224" s="21"/>
      <c r="D224" s="21"/>
      <c r="E224" s="21"/>
      <c r="F224" s="21"/>
      <c r="G224" s="21"/>
      <c r="H224" s="21"/>
      <c r="I224" s="440"/>
    </row>
    <row r="225" spans="1:12" s="17" customFormat="1" ht="16.5" customHeight="1" x14ac:dyDescent="0.2">
      <c r="A225" s="642" t="s">
        <v>576</v>
      </c>
      <c r="B225" s="642"/>
      <c r="C225" s="642"/>
      <c r="D225" s="642"/>
      <c r="E225" s="642"/>
      <c r="F225" s="642"/>
      <c r="G225" s="642"/>
      <c r="H225" s="642"/>
      <c r="I225" s="642"/>
    </row>
    <row r="226" spans="1:12" s="17" customFormat="1" ht="16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</row>
    <row r="227" spans="1:12" s="17" customFormat="1" ht="16.5" customHeight="1" x14ac:dyDescent="0.2">
      <c r="A227" s="21"/>
      <c r="B227" s="603" t="s">
        <v>577</v>
      </c>
      <c r="C227" s="603"/>
      <c r="D227" s="603"/>
      <c r="E227" s="603"/>
      <c r="F227" s="603"/>
      <c r="G227" s="603"/>
      <c r="H227" s="603"/>
      <c r="I227" s="603"/>
    </row>
    <row r="228" spans="1:12" s="17" customFormat="1" ht="16.5" customHeight="1" x14ac:dyDescent="0.2">
      <c r="A228" s="603" t="s">
        <v>578</v>
      </c>
      <c r="B228" s="603"/>
      <c r="C228" s="603"/>
      <c r="D228" s="603"/>
      <c r="E228" s="603"/>
      <c r="F228" s="603"/>
      <c r="G228" s="603"/>
      <c r="H228" s="603"/>
      <c r="I228" s="603"/>
    </row>
    <row r="229" spans="1:12" s="17" customFormat="1" ht="16.5" customHeight="1" x14ac:dyDescent="0.2">
      <c r="A229" s="20"/>
      <c r="B229" s="20"/>
      <c r="C229" s="23"/>
      <c r="D229" s="650" t="s">
        <v>84</v>
      </c>
      <c r="E229" s="650"/>
      <c r="F229" s="650"/>
      <c r="G229" s="20"/>
      <c r="H229" s="20"/>
      <c r="I229" s="20"/>
    </row>
    <row r="230" spans="1:12" s="17" customFormat="1" ht="16.5" customHeight="1" x14ac:dyDescent="0.2">
      <c r="A230" s="20"/>
      <c r="B230" s="20"/>
      <c r="C230" s="23"/>
      <c r="D230" s="651"/>
      <c r="E230" s="651"/>
      <c r="F230" s="651"/>
      <c r="G230" s="20"/>
      <c r="H230" s="20"/>
      <c r="I230" s="20"/>
    </row>
    <row r="231" spans="1:12" s="17" customFormat="1" ht="16.5" customHeight="1" x14ac:dyDescent="0.2">
      <c r="A231" s="26" t="s">
        <v>48</v>
      </c>
      <c r="B231" s="615" t="s">
        <v>49</v>
      </c>
      <c r="C231" s="616"/>
      <c r="D231" s="411" t="s">
        <v>85</v>
      </c>
      <c r="E231" s="409" t="s">
        <v>51</v>
      </c>
      <c r="F231" s="42" t="s">
        <v>86</v>
      </c>
      <c r="G231" s="652" t="s">
        <v>52</v>
      </c>
      <c r="H231" s="653"/>
      <c r="I231" s="613" t="s">
        <v>53</v>
      </c>
    </row>
    <row r="232" spans="1:12" s="17" customFormat="1" ht="16.5" customHeight="1" x14ac:dyDescent="0.2">
      <c r="A232" s="43" t="s">
        <v>87</v>
      </c>
      <c r="B232" s="617"/>
      <c r="C232" s="618"/>
      <c r="D232" s="412" t="s">
        <v>579</v>
      </c>
      <c r="E232" s="44" t="s">
        <v>571</v>
      </c>
      <c r="F232" s="45" t="s">
        <v>571</v>
      </c>
      <c r="G232" s="29" t="s">
        <v>55</v>
      </c>
      <c r="H232" s="29" t="s">
        <v>56</v>
      </c>
      <c r="I232" s="618"/>
    </row>
    <row r="233" spans="1:12" s="17" customFormat="1" ht="16.5" customHeight="1" x14ac:dyDescent="0.2">
      <c r="A233" s="46" t="s">
        <v>61</v>
      </c>
      <c r="B233" s="682" t="s">
        <v>12</v>
      </c>
      <c r="C233" s="683"/>
      <c r="D233" s="47" t="s">
        <v>14</v>
      </c>
      <c r="E233" s="48">
        <v>4</v>
      </c>
      <c r="F233" s="46">
        <v>5</v>
      </c>
      <c r="G233" s="44">
        <v>6</v>
      </c>
      <c r="H233" s="44">
        <v>7</v>
      </c>
      <c r="I233" s="46">
        <v>8</v>
      </c>
    </row>
    <row r="234" spans="1:12" s="17" customFormat="1" ht="16.5" customHeight="1" x14ac:dyDescent="0.2">
      <c r="A234" s="49">
        <v>16019</v>
      </c>
      <c r="B234" s="666" t="s">
        <v>57</v>
      </c>
      <c r="C234" s="667"/>
      <c r="D234" s="50">
        <v>0</v>
      </c>
      <c r="E234" s="50">
        <v>1</v>
      </c>
      <c r="F234" s="50">
        <v>0</v>
      </c>
      <c r="G234" s="51" t="e">
        <f t="shared" ref="G234:G241" si="2">F234/D234</f>
        <v>#DIV/0!</v>
      </c>
      <c r="H234" s="52">
        <f>F234/E234</f>
        <v>0</v>
      </c>
      <c r="I234" s="52">
        <f>F234/F351</f>
        <v>0</v>
      </c>
    </row>
    <row r="235" spans="1:12" s="17" customFormat="1" ht="16.5" customHeight="1" x14ac:dyDescent="0.2">
      <c r="A235" s="53">
        <v>163</v>
      </c>
      <c r="B235" s="668" t="s">
        <v>58</v>
      </c>
      <c r="C235" s="669"/>
      <c r="D235" s="54">
        <f>D236</f>
        <v>165006</v>
      </c>
      <c r="E235" s="55">
        <f>E236</f>
        <v>180000</v>
      </c>
      <c r="F235" s="54">
        <f>F236</f>
        <v>144483.5</v>
      </c>
      <c r="G235" s="56">
        <f t="shared" si="2"/>
        <v>0.87562573482176409</v>
      </c>
      <c r="H235" s="57">
        <f>F235/E235</f>
        <v>0.8026861111111111</v>
      </c>
      <c r="I235" s="58">
        <f>F236/F357</f>
        <v>1.9212978650552114E-2</v>
      </c>
    </row>
    <row r="236" spans="1:12" s="17" customFormat="1" ht="16.5" customHeight="1" x14ac:dyDescent="0.2">
      <c r="A236" s="59">
        <v>16319</v>
      </c>
      <c r="B236" s="670" t="s">
        <v>88</v>
      </c>
      <c r="C236" s="671"/>
      <c r="D236" s="60">
        <f>D247</f>
        <v>165006</v>
      </c>
      <c r="E236" s="61">
        <f>E247</f>
        <v>180000</v>
      </c>
      <c r="F236" s="60">
        <f>F247</f>
        <v>144483.5</v>
      </c>
      <c r="G236" s="62">
        <f t="shared" si="2"/>
        <v>0.87562573482176409</v>
      </c>
      <c r="H236" s="63">
        <f>H247</f>
        <v>0.8026861111111111</v>
      </c>
      <c r="I236" s="58">
        <f>F236/F357</f>
        <v>1.9212978650552114E-2</v>
      </c>
      <c r="K236" s="17">
        <v>144483.5</v>
      </c>
      <c r="L236" s="453">
        <f>+F236-K236</f>
        <v>0</v>
      </c>
    </row>
    <row r="237" spans="1:12" s="17" customFormat="1" ht="16.5" customHeight="1" x14ac:dyDescent="0.2">
      <c r="A237" s="64">
        <v>50013</v>
      </c>
      <c r="B237" s="662" t="s">
        <v>89</v>
      </c>
      <c r="C237" s="663"/>
      <c r="D237" s="65">
        <v>16887</v>
      </c>
      <c r="E237" s="550">
        <v>14000</v>
      </c>
      <c r="F237" s="65">
        <v>14674</v>
      </c>
      <c r="G237" s="67">
        <f t="shared" si="2"/>
        <v>0.86895244862912302</v>
      </c>
      <c r="H237" s="68">
        <f>F237/E237</f>
        <v>1.048142857142857</v>
      </c>
      <c r="I237" s="69">
        <f>F237/F247</f>
        <v>0.10156177002910367</v>
      </c>
      <c r="K237" s="17">
        <v>0</v>
      </c>
    </row>
    <row r="238" spans="1:12" s="17" customFormat="1" ht="16.5" customHeight="1" x14ac:dyDescent="0.2">
      <c r="A238" s="64">
        <v>50014</v>
      </c>
      <c r="B238" s="662" t="s">
        <v>90</v>
      </c>
      <c r="C238" s="663"/>
      <c r="D238" s="65">
        <v>6453</v>
      </c>
      <c r="E238" s="550">
        <v>10000</v>
      </c>
      <c r="F238" s="65">
        <v>8491</v>
      </c>
      <c r="G238" s="70">
        <f t="shared" si="2"/>
        <v>1.3158220982488764</v>
      </c>
      <c r="H238" s="68">
        <f>F238/E238</f>
        <v>0.84909999999999997</v>
      </c>
      <c r="I238" s="69">
        <f>F238/F247</f>
        <v>5.8767956202611368E-2</v>
      </c>
      <c r="K238" s="17">
        <v>0</v>
      </c>
    </row>
    <row r="239" spans="1:12" s="17" customFormat="1" ht="16.5" customHeight="1" x14ac:dyDescent="0.2">
      <c r="A239" s="64">
        <v>50015</v>
      </c>
      <c r="B239" s="662" t="s">
        <v>91</v>
      </c>
      <c r="C239" s="663"/>
      <c r="D239" s="65">
        <v>5941</v>
      </c>
      <c r="E239" s="550">
        <v>5000</v>
      </c>
      <c r="F239" s="65">
        <v>4843</v>
      </c>
      <c r="G239" s="70">
        <f t="shared" si="2"/>
        <v>0.81518262918700557</v>
      </c>
      <c r="H239" s="68">
        <f>F239/E239</f>
        <v>0.96860000000000002</v>
      </c>
      <c r="I239" s="69">
        <f>F239/F247</f>
        <v>3.3519398408814849E-2</v>
      </c>
      <c r="K239" s="17">
        <v>14674</v>
      </c>
    </row>
    <row r="240" spans="1:12" s="17" customFormat="1" ht="16.5" customHeight="1" x14ac:dyDescent="0.2">
      <c r="A240" s="64">
        <v>50016</v>
      </c>
      <c r="B240" s="662" t="s">
        <v>92</v>
      </c>
      <c r="C240" s="663"/>
      <c r="D240" s="65">
        <v>121167</v>
      </c>
      <c r="E240" s="550">
        <v>135000</v>
      </c>
      <c r="F240" s="65">
        <v>102803</v>
      </c>
      <c r="G240" s="70">
        <f t="shared" si="2"/>
        <v>0.84844058200665196</v>
      </c>
      <c r="H240" s="68">
        <f>F240/E240</f>
        <v>0.76150370370370368</v>
      </c>
      <c r="I240" s="69">
        <f>F240/F247</f>
        <v>0.71152069267425</v>
      </c>
      <c r="K240" s="17">
        <v>8491</v>
      </c>
    </row>
    <row r="241" spans="1:11" s="17" customFormat="1" ht="16.5" customHeight="1" x14ac:dyDescent="0.2">
      <c r="A241" s="64">
        <v>50017</v>
      </c>
      <c r="B241" s="660" t="s">
        <v>397</v>
      </c>
      <c r="C241" s="661"/>
      <c r="D241" s="65">
        <v>4022</v>
      </c>
      <c r="E241" s="550">
        <v>3500</v>
      </c>
      <c r="F241" s="65">
        <v>5502</v>
      </c>
      <c r="G241" s="70">
        <f t="shared" si="2"/>
        <v>1.3679761312779712</v>
      </c>
      <c r="H241" s="68">
        <f>F241/E241</f>
        <v>1.5720000000000001</v>
      </c>
      <c r="I241" s="69">
        <f>F241/F247</f>
        <v>3.8080472856762193E-2</v>
      </c>
      <c r="K241" s="17">
        <v>4843</v>
      </c>
    </row>
    <row r="242" spans="1:11" s="17" customFormat="1" ht="16.5" customHeight="1" x14ac:dyDescent="0.2">
      <c r="A242" s="64">
        <v>50018</v>
      </c>
      <c r="B242" s="662" t="s">
        <v>93</v>
      </c>
      <c r="C242" s="663"/>
      <c r="D242" s="65">
        <v>6068</v>
      </c>
      <c r="E242" s="550">
        <v>7000</v>
      </c>
      <c r="F242" s="65">
        <v>5162.5</v>
      </c>
      <c r="G242" s="70">
        <f>F242/D242</f>
        <v>0.85077455504284771</v>
      </c>
      <c r="H242" s="68">
        <f>F242/E243</f>
        <v>0.9386363636363636</v>
      </c>
      <c r="I242" s="69">
        <f>F242/F247</f>
        <v>3.5730723577432719E-2</v>
      </c>
      <c r="K242" s="17">
        <v>102803</v>
      </c>
    </row>
    <row r="243" spans="1:11" s="17" customFormat="1" ht="16.5" customHeight="1" x14ac:dyDescent="0.2">
      <c r="A243" s="64">
        <v>50019</v>
      </c>
      <c r="B243" s="662" t="s">
        <v>94</v>
      </c>
      <c r="C243" s="663"/>
      <c r="D243" s="71">
        <v>4468</v>
      </c>
      <c r="E243" s="550">
        <v>5500</v>
      </c>
      <c r="F243" s="71">
        <v>8</v>
      </c>
      <c r="G243" s="70">
        <f t="shared" ref="G243:G266" si="3">F243/D243</f>
        <v>1.7905102954341987E-3</v>
      </c>
      <c r="H243" s="68">
        <f>E243/D243</f>
        <v>1.2309758281110117</v>
      </c>
      <c r="I243" s="69">
        <f>F243/F247</f>
        <v>5.5369644284641498E-5</v>
      </c>
      <c r="K243" s="17">
        <v>5502</v>
      </c>
    </row>
    <row r="244" spans="1:11" s="17" customFormat="1" ht="16.5" customHeight="1" x14ac:dyDescent="0.2">
      <c r="A244" s="64">
        <v>50025</v>
      </c>
      <c r="B244" s="662" t="s">
        <v>95</v>
      </c>
      <c r="C244" s="663"/>
      <c r="D244" s="71">
        <v>0</v>
      </c>
      <c r="E244" s="66"/>
      <c r="F244" s="71">
        <v>0</v>
      </c>
      <c r="G244" s="70" t="e">
        <f t="shared" si="3"/>
        <v>#DIV/0!</v>
      </c>
      <c r="H244" s="68" t="e">
        <f>G244/E244</f>
        <v>#DIV/0!</v>
      </c>
      <c r="I244" s="69">
        <f>F244/F247</f>
        <v>0</v>
      </c>
      <c r="K244" s="17">
        <v>5162.5</v>
      </c>
    </row>
    <row r="245" spans="1:11" s="17" customFormat="1" ht="16.5" customHeight="1" x14ac:dyDescent="0.2">
      <c r="A245" s="64">
        <v>50109</v>
      </c>
      <c r="B245" s="564" t="s">
        <v>552</v>
      </c>
      <c r="C245" s="563"/>
      <c r="D245" s="71">
        <v>0</v>
      </c>
      <c r="E245" s="66">
        <v>0</v>
      </c>
      <c r="F245" s="71">
        <v>3000</v>
      </c>
      <c r="G245" s="70" t="e">
        <f t="shared" si="3"/>
        <v>#DIV/0!</v>
      </c>
      <c r="H245" s="68" t="e">
        <f t="shared" ref="H245:H246" si="4">G245/E245</f>
        <v>#DIV/0!</v>
      </c>
      <c r="I245" s="69">
        <f>F245/F247</f>
        <v>2.0763616606740563E-2</v>
      </c>
      <c r="K245" s="17">
        <v>8</v>
      </c>
    </row>
    <row r="246" spans="1:11" s="17" customFormat="1" ht="16.5" customHeight="1" x14ac:dyDescent="0.2">
      <c r="A246" s="64">
        <v>50408</v>
      </c>
      <c r="B246" s="564" t="s">
        <v>428</v>
      </c>
      <c r="C246" s="563"/>
      <c r="D246" s="71">
        <v>0</v>
      </c>
      <c r="E246" s="66">
        <v>0</v>
      </c>
      <c r="F246" s="71">
        <v>0</v>
      </c>
      <c r="G246" s="70" t="e">
        <f t="shared" si="3"/>
        <v>#DIV/0!</v>
      </c>
      <c r="H246" s="68" t="e">
        <f t="shared" si="4"/>
        <v>#DIV/0!</v>
      </c>
      <c r="I246" s="69">
        <f>F246/F247</f>
        <v>0</v>
      </c>
      <c r="K246" s="17">
        <v>3000</v>
      </c>
    </row>
    <row r="247" spans="1:11" s="17" customFormat="1" ht="16.5" customHeight="1" x14ac:dyDescent="0.2">
      <c r="A247" s="28"/>
      <c r="B247" s="664" t="s">
        <v>96</v>
      </c>
      <c r="C247" s="665"/>
      <c r="D247" s="72">
        <f>SUM(D237:D246)</f>
        <v>165006</v>
      </c>
      <c r="E247" s="73">
        <f>E237+E238+E239+E240+E241+E242+E243</f>
        <v>180000</v>
      </c>
      <c r="F247" s="72">
        <f>F237+F238+F239+F240+F241+F242+F243+F244+F245+F246</f>
        <v>144483.5</v>
      </c>
      <c r="G247" s="74">
        <f t="shared" si="3"/>
        <v>0.87562573482176409</v>
      </c>
      <c r="H247" s="75">
        <f t="shared" ref="H247:H268" si="5">F247/E247</f>
        <v>0.8026861111111111</v>
      </c>
      <c r="I247" s="76">
        <f>I237+I238+I239+I240+I241+I242+I243+I244+I245+I246</f>
        <v>1</v>
      </c>
      <c r="K247" s="17">
        <v>0</v>
      </c>
    </row>
    <row r="248" spans="1:11" s="17" customFormat="1" ht="16.5" customHeight="1" x14ac:dyDescent="0.2">
      <c r="A248" s="77">
        <v>16637</v>
      </c>
      <c r="B248" s="666" t="s">
        <v>97</v>
      </c>
      <c r="C248" s="667"/>
      <c r="D248" s="50">
        <f>D249+D250+D251+D252+D253+D255</f>
        <v>83274.45</v>
      </c>
      <c r="E248" s="50">
        <f>E254+E255</f>
        <v>42000</v>
      </c>
      <c r="F248" s="50">
        <f>F254+F255</f>
        <v>110406.7</v>
      </c>
      <c r="G248" s="52">
        <f t="shared" si="3"/>
        <v>1.3258172224493827</v>
      </c>
      <c r="H248" s="78">
        <f t="shared" si="5"/>
        <v>2.6287309523809523</v>
      </c>
      <c r="I248" s="52">
        <f>F248/F357</f>
        <v>1.4681548896433931E-2</v>
      </c>
    </row>
    <row r="249" spans="1:11" s="17" customFormat="1" ht="16.5" customHeight="1" x14ac:dyDescent="0.2">
      <c r="A249" s="82">
        <v>50104</v>
      </c>
      <c r="B249" s="658" t="s">
        <v>99</v>
      </c>
      <c r="C249" s="659"/>
      <c r="D249" s="79">
        <v>15350</v>
      </c>
      <c r="E249" s="511">
        <v>18000</v>
      </c>
      <c r="F249" s="79">
        <v>12866.7</v>
      </c>
      <c r="G249" s="83">
        <f t="shared" si="3"/>
        <v>0.83822149837133553</v>
      </c>
      <c r="H249" s="83">
        <f t="shared" si="5"/>
        <v>0.71481666666666666</v>
      </c>
      <c r="I249" s="83">
        <f>F249/F254</f>
        <v>0.37730377077975591</v>
      </c>
    </row>
    <row r="250" spans="1:11" s="17" customFormat="1" ht="16.5" customHeight="1" x14ac:dyDescent="0.2">
      <c r="A250" s="84">
        <v>50205</v>
      </c>
      <c r="B250" s="654" t="s">
        <v>100</v>
      </c>
      <c r="C250" s="655"/>
      <c r="D250" s="79">
        <v>8900</v>
      </c>
      <c r="E250" s="511">
        <v>18000</v>
      </c>
      <c r="F250" s="79">
        <v>21235</v>
      </c>
      <c r="G250" s="83">
        <f t="shared" si="3"/>
        <v>2.3859550561797751</v>
      </c>
      <c r="H250" s="83">
        <f t="shared" si="5"/>
        <v>1.1797222222222221</v>
      </c>
      <c r="I250" s="83">
        <f>F250/F254</f>
        <v>0.62269622922024426</v>
      </c>
    </row>
    <row r="251" spans="1:11" s="17" customFormat="1" ht="16.5" customHeight="1" x14ac:dyDescent="0.2">
      <c r="A251" s="84">
        <v>50501</v>
      </c>
      <c r="B251" s="656" t="s">
        <v>101</v>
      </c>
      <c r="C251" s="657"/>
      <c r="D251" s="79">
        <v>0</v>
      </c>
      <c r="E251" s="511">
        <v>1000</v>
      </c>
      <c r="F251" s="79">
        <v>0</v>
      </c>
      <c r="G251" s="83" t="e">
        <f t="shared" si="3"/>
        <v>#DIV/0!</v>
      </c>
      <c r="H251" s="83">
        <f t="shared" si="5"/>
        <v>0</v>
      </c>
      <c r="I251" s="83">
        <f>F251/F254</f>
        <v>0</v>
      </c>
    </row>
    <row r="252" spans="1:11" s="17" customFormat="1" ht="16.5" customHeight="1" x14ac:dyDescent="0.2">
      <c r="A252" s="84">
        <v>50505</v>
      </c>
      <c r="B252" s="656" t="s">
        <v>102</v>
      </c>
      <c r="C252" s="657"/>
      <c r="D252" s="79">
        <v>0</v>
      </c>
      <c r="E252" s="511">
        <v>0</v>
      </c>
      <c r="F252" s="79">
        <v>0</v>
      </c>
      <c r="G252" s="83" t="e">
        <f t="shared" si="3"/>
        <v>#DIV/0!</v>
      </c>
      <c r="H252" s="83" t="e">
        <f t="shared" si="5"/>
        <v>#DIV/0!</v>
      </c>
      <c r="I252" s="83">
        <f>F252/F254</f>
        <v>0</v>
      </c>
    </row>
    <row r="253" spans="1:11" s="17" customFormat="1" ht="16.5" customHeight="1" x14ac:dyDescent="0.2">
      <c r="A253" s="84">
        <v>50507</v>
      </c>
      <c r="B253" s="656" t="s">
        <v>103</v>
      </c>
      <c r="C253" s="657"/>
      <c r="D253" s="79">
        <v>70</v>
      </c>
      <c r="E253" s="511">
        <v>5000</v>
      </c>
      <c r="F253" s="79">
        <v>0</v>
      </c>
      <c r="G253" s="83">
        <f t="shared" si="3"/>
        <v>0</v>
      </c>
      <c r="H253" s="83">
        <f t="shared" si="5"/>
        <v>0</v>
      </c>
      <c r="I253" s="83">
        <f>F253/F254</f>
        <v>0</v>
      </c>
    </row>
    <row r="254" spans="1:11" s="17" customFormat="1" ht="16.5" customHeight="1" x14ac:dyDescent="0.2">
      <c r="A254" s="84"/>
      <c r="B254" s="678" t="s">
        <v>96</v>
      </c>
      <c r="C254" s="679"/>
      <c r="D254" s="85">
        <f>D249+D250+D251+D252+D253</f>
        <v>24320</v>
      </c>
      <c r="E254" s="85">
        <f>E249+E250+E251+E252+E253</f>
        <v>42000</v>
      </c>
      <c r="F254" s="85">
        <f>F249+F250+F251+F252+F253</f>
        <v>34101.699999999997</v>
      </c>
      <c r="G254" s="35">
        <f t="shared" si="3"/>
        <v>1.4022080592105262</v>
      </c>
      <c r="H254" s="35">
        <f t="shared" si="5"/>
        <v>0.811945238095238</v>
      </c>
      <c r="I254" s="35">
        <f>F254/F248</f>
        <v>0.30887346510673719</v>
      </c>
    </row>
    <row r="255" spans="1:11" s="17" customFormat="1" ht="16.5" customHeight="1" x14ac:dyDescent="0.2">
      <c r="A255" s="103">
        <v>50102</v>
      </c>
      <c r="B255" s="632" t="s">
        <v>98</v>
      </c>
      <c r="C255" s="633"/>
      <c r="D255" s="361">
        <v>58954.45</v>
      </c>
      <c r="E255" s="85">
        <v>0</v>
      </c>
      <c r="F255" s="361">
        <f>56135+7305+6125+6740</f>
        <v>76305</v>
      </c>
      <c r="G255" s="35">
        <f>F255/D255</f>
        <v>1.2943043315644536</v>
      </c>
      <c r="H255" s="35" t="e">
        <f>F255/E255</f>
        <v>#DIV/0!</v>
      </c>
      <c r="I255" s="35">
        <f>F255/F248</f>
        <v>0.69112653489326281</v>
      </c>
    </row>
    <row r="256" spans="1:11" s="17" customFormat="1" ht="16.5" customHeight="1" x14ac:dyDescent="0.2">
      <c r="A256" s="49">
        <v>17519</v>
      </c>
      <c r="B256" s="666" t="s">
        <v>25</v>
      </c>
      <c r="C256" s="667"/>
      <c r="D256" s="50">
        <f>D263+D264+D265</f>
        <v>3847016.39</v>
      </c>
      <c r="E256" s="50">
        <f>E263+E264+E265</f>
        <v>3495558</v>
      </c>
      <c r="F256" s="50">
        <f>F263+F264+F265</f>
        <v>4449451.84</v>
      </c>
      <c r="G256" s="52">
        <f t="shared" si="3"/>
        <v>1.1565980980912847</v>
      </c>
      <c r="H256" s="52">
        <f t="shared" si="5"/>
        <v>1.2728874302757958</v>
      </c>
      <c r="I256" s="52">
        <f>F256/F357</f>
        <v>0.59167464249260171</v>
      </c>
    </row>
    <row r="257" spans="1:13" s="17" customFormat="1" ht="16.5" customHeight="1" x14ac:dyDescent="0.2">
      <c r="A257" s="86">
        <v>40110</v>
      </c>
      <c r="B257" s="601" t="s">
        <v>104</v>
      </c>
      <c r="C257" s="602"/>
      <c r="D257" s="87">
        <v>2761006.39</v>
      </c>
      <c r="E257" s="494">
        <v>2683681</v>
      </c>
      <c r="F257" s="87">
        <f>2208682.69</f>
        <v>2208682.69</v>
      </c>
      <c r="G257" s="89">
        <f t="shared" si="3"/>
        <v>0.79995566037063748</v>
      </c>
      <c r="H257" s="90">
        <f t="shared" si="5"/>
        <v>0.82300492867818487</v>
      </c>
      <c r="I257" s="81">
        <f>F257/F263</f>
        <v>0.88516485973046788</v>
      </c>
      <c r="J257" s="17">
        <v>100</v>
      </c>
      <c r="K257" s="599">
        <f>+F257/F351</f>
        <v>0.42536683227291899</v>
      </c>
    </row>
    <row r="258" spans="1:13" s="17" customFormat="1" ht="16.5" customHeight="1" x14ac:dyDescent="0.2">
      <c r="A258" s="86"/>
      <c r="B258" s="601" t="s">
        <v>105</v>
      </c>
      <c r="C258" s="602"/>
      <c r="D258" s="87">
        <v>0</v>
      </c>
      <c r="E258" s="494">
        <v>571877</v>
      </c>
      <c r="F258" s="87">
        <v>0</v>
      </c>
      <c r="G258" s="89" t="e">
        <f t="shared" si="3"/>
        <v>#DIV/0!</v>
      </c>
      <c r="H258" s="90">
        <f t="shared" si="5"/>
        <v>0</v>
      </c>
      <c r="I258" s="81">
        <f>F258/F263</f>
        <v>0</v>
      </c>
      <c r="J258" s="17">
        <v>88.52</v>
      </c>
    </row>
    <row r="259" spans="1:13" s="17" customFormat="1" ht="16.5" customHeight="1" x14ac:dyDescent="0.2">
      <c r="A259" s="84">
        <v>50001</v>
      </c>
      <c r="B259" s="654" t="s">
        <v>106</v>
      </c>
      <c r="C259" s="655"/>
      <c r="D259" s="87">
        <v>262260</v>
      </c>
      <c r="E259" s="494">
        <v>240000</v>
      </c>
      <c r="F259" s="87">
        <v>285967</v>
      </c>
      <c r="G259" s="89">
        <f t="shared" si="3"/>
        <v>1.090395027834973</v>
      </c>
      <c r="H259" s="90">
        <f t="shared" si="5"/>
        <v>1.1915291666666668</v>
      </c>
      <c r="I259" s="81">
        <f>F259/F263</f>
        <v>0.11460584202004261</v>
      </c>
      <c r="J259" s="17">
        <f>+J257-J258</f>
        <v>11.480000000000004</v>
      </c>
    </row>
    <row r="260" spans="1:13" s="17" customFormat="1" ht="16.5" customHeight="1" x14ac:dyDescent="0.2">
      <c r="A260" s="84">
        <v>50017</v>
      </c>
      <c r="B260" s="654" t="s">
        <v>398</v>
      </c>
      <c r="C260" s="655"/>
      <c r="D260" s="87">
        <v>0</v>
      </c>
      <c r="E260" s="493">
        <v>0</v>
      </c>
      <c r="F260" s="87">
        <v>0</v>
      </c>
      <c r="G260" s="91" t="e">
        <f t="shared" si="3"/>
        <v>#DIV/0!</v>
      </c>
      <c r="H260" s="92" t="e">
        <f t="shared" si="5"/>
        <v>#DIV/0!</v>
      </c>
      <c r="I260" s="81">
        <f>F260/F263</f>
        <v>0</v>
      </c>
    </row>
    <row r="261" spans="1:13" s="17" customFormat="1" ht="16.5" customHeight="1" x14ac:dyDescent="0.2">
      <c r="A261" s="84">
        <v>50019</v>
      </c>
      <c r="B261" s="654" t="s">
        <v>125</v>
      </c>
      <c r="C261" s="655"/>
      <c r="D261" s="87">
        <v>0</v>
      </c>
      <c r="E261" s="493">
        <v>0</v>
      </c>
      <c r="F261" s="87">
        <v>572.15</v>
      </c>
      <c r="G261" s="91" t="e">
        <f t="shared" si="3"/>
        <v>#DIV/0!</v>
      </c>
      <c r="H261" s="92" t="e">
        <f t="shared" si="5"/>
        <v>#DIV/0!</v>
      </c>
      <c r="I261" s="81">
        <f>F261/F263</f>
        <v>2.2929824948951234E-4</v>
      </c>
      <c r="L261" s="453">
        <f>+E257+E258</f>
        <v>3255558</v>
      </c>
      <c r="M261" s="452">
        <f>+L261/1000</f>
        <v>3255.558</v>
      </c>
    </row>
    <row r="262" spans="1:13" s="17" customFormat="1" ht="16.5" customHeight="1" x14ac:dyDescent="0.2">
      <c r="A262" s="86">
        <v>50290</v>
      </c>
      <c r="B262" s="654" t="s">
        <v>108</v>
      </c>
      <c r="C262" s="655"/>
      <c r="D262" s="87">
        <v>0</v>
      </c>
      <c r="E262" s="493">
        <v>0</v>
      </c>
      <c r="F262" s="87">
        <v>0</v>
      </c>
      <c r="G262" s="91" t="e">
        <f>F262/D262</f>
        <v>#DIV/0!</v>
      </c>
      <c r="H262" s="92" t="e">
        <f>F262/E262</f>
        <v>#DIV/0!</v>
      </c>
      <c r="I262" s="81">
        <f>F262/F263</f>
        <v>0</v>
      </c>
      <c r="L262" s="453">
        <f>+E351</f>
        <v>5365017</v>
      </c>
      <c r="M262" s="452"/>
    </row>
    <row r="263" spans="1:13" s="17" customFormat="1" ht="16.5" customHeight="1" x14ac:dyDescent="0.2">
      <c r="A263" s="86"/>
      <c r="B263" s="672" t="s">
        <v>96</v>
      </c>
      <c r="C263" s="673"/>
      <c r="D263" s="93">
        <f>D257+D258+D259+D260+D261+D262</f>
        <v>3023266.39</v>
      </c>
      <c r="E263" s="494">
        <f>E257+E258+E259+E260+E261+E262</f>
        <v>3495558</v>
      </c>
      <c r="F263" s="93">
        <f>F257+F258+F259+F260+F261+F262</f>
        <v>2495221.84</v>
      </c>
      <c r="G263" s="33">
        <f>F263/D263</f>
        <v>0.82533972138657608</v>
      </c>
      <c r="H263" s="34">
        <f>F263/E263</f>
        <v>0.7138264734843478</v>
      </c>
      <c r="I263" s="35">
        <f>F263/F256</f>
        <v>0.56079308861560795</v>
      </c>
      <c r="J263" s="17">
        <v>2495221.84</v>
      </c>
      <c r="K263" s="453">
        <f>+F263-J263</f>
        <v>0</v>
      </c>
      <c r="L263" s="453">
        <f>+L262-L261</f>
        <v>2109459</v>
      </c>
      <c r="M263" s="452">
        <f>+L263/1000</f>
        <v>2109.4589999999998</v>
      </c>
    </row>
    <row r="264" spans="1:13" s="17" customFormat="1" ht="16.5" customHeight="1" x14ac:dyDescent="0.2">
      <c r="A264" s="362">
        <v>50101</v>
      </c>
      <c r="B264" s="672" t="s">
        <v>107</v>
      </c>
      <c r="C264" s="673"/>
      <c r="D264" s="545">
        <v>823750</v>
      </c>
      <c r="E264" s="363">
        <v>0</v>
      </c>
      <c r="F264" s="545">
        <f>768881.5+112146+86327+76787</f>
        <v>1044141.5</v>
      </c>
      <c r="G264" s="124">
        <f>F264/D264</f>
        <v>1.2675465857359636</v>
      </c>
      <c r="H264" s="136" t="e">
        <f>F264/E264</f>
        <v>#DIV/0!</v>
      </c>
      <c r="I264" s="35">
        <f>F264/F256</f>
        <v>0.23466744613646612</v>
      </c>
      <c r="M264" s="452"/>
    </row>
    <row r="265" spans="1:13" s="17" customFormat="1" ht="16.5" customHeight="1" x14ac:dyDescent="0.2">
      <c r="A265" s="94"/>
      <c r="B265" s="674" t="s">
        <v>142</v>
      </c>
      <c r="C265" s="675"/>
      <c r="D265" s="95">
        <f>D266</f>
        <v>0</v>
      </c>
      <c r="E265" s="95">
        <v>0</v>
      </c>
      <c r="F265" s="95">
        <f>F266</f>
        <v>910088.5</v>
      </c>
      <c r="G265" s="33" t="e">
        <f t="shared" si="3"/>
        <v>#DIV/0!</v>
      </c>
      <c r="H265" s="34" t="e">
        <f t="shared" si="5"/>
        <v>#DIV/0!</v>
      </c>
      <c r="I265" s="357">
        <f>F265/F256</f>
        <v>0.20453946524792591</v>
      </c>
    </row>
    <row r="266" spans="1:13" s="17" customFormat="1" ht="16.5" customHeight="1" x14ac:dyDescent="0.2">
      <c r="A266" s="84"/>
      <c r="B266" s="676" t="s">
        <v>111</v>
      </c>
      <c r="C266" s="677"/>
      <c r="D266" s="96">
        <v>0</v>
      </c>
      <c r="E266" s="79">
        <v>0</v>
      </c>
      <c r="F266" s="96">
        <v>910088.5</v>
      </c>
      <c r="G266" s="91" t="e">
        <f t="shared" si="3"/>
        <v>#DIV/0!</v>
      </c>
      <c r="H266" s="92" t="e">
        <f t="shared" si="5"/>
        <v>#DIV/0!</v>
      </c>
      <c r="I266" s="357">
        <f>I263+I264+I265</f>
        <v>0.99999999999999989</v>
      </c>
    </row>
    <row r="267" spans="1:13" s="17" customFormat="1" ht="16.5" customHeight="1" x14ac:dyDescent="0.2">
      <c r="A267" s="84"/>
      <c r="B267" s="648" t="s">
        <v>465</v>
      </c>
      <c r="C267" s="649"/>
      <c r="D267" s="96"/>
      <c r="E267" s="79"/>
      <c r="F267" s="96"/>
      <c r="G267" s="91"/>
      <c r="H267" s="92"/>
      <c r="I267" s="358"/>
    </row>
    <row r="268" spans="1:13" s="17" customFormat="1" ht="16.5" customHeight="1" x14ac:dyDescent="0.2">
      <c r="A268" s="98">
        <v>180</v>
      </c>
      <c r="B268" s="638" t="s">
        <v>112</v>
      </c>
      <c r="C268" s="639"/>
      <c r="D268" s="99">
        <f>D269</f>
        <v>97471.54</v>
      </c>
      <c r="E268" s="99">
        <f>E269</f>
        <v>0</v>
      </c>
      <c r="F268" s="99">
        <f>F269</f>
        <v>63581.21</v>
      </c>
      <c r="G268" s="52">
        <f>F268/D268</f>
        <v>0.6523053806270015</v>
      </c>
      <c r="H268" s="52" t="e">
        <f t="shared" si="5"/>
        <v>#DIV/0!</v>
      </c>
      <c r="I268" s="52">
        <f>F268/F357</f>
        <v>8.4548369212143291E-3</v>
      </c>
    </row>
    <row r="269" spans="1:13" s="17" customFormat="1" ht="16.5" customHeight="1" x14ac:dyDescent="0.2">
      <c r="A269" s="100">
        <v>18019</v>
      </c>
      <c r="B269" s="684" t="s">
        <v>399</v>
      </c>
      <c r="C269" s="685"/>
      <c r="D269" s="101">
        <f>D272</f>
        <v>97471.54</v>
      </c>
      <c r="E269" s="101">
        <f>E272</f>
        <v>0</v>
      </c>
      <c r="F269" s="101">
        <f>F272</f>
        <v>63581.21</v>
      </c>
      <c r="G269" s="102">
        <f>F268/D268</f>
        <v>0.6523053806270015</v>
      </c>
      <c r="H269" s="102" t="e">
        <f>F268/E268</f>
        <v>#DIV/0!</v>
      </c>
      <c r="I269" s="102">
        <f>I268</f>
        <v>8.4548369212143291E-3</v>
      </c>
    </row>
    <row r="270" spans="1:13" s="17" customFormat="1" ht="16.5" customHeight="1" x14ac:dyDescent="0.2">
      <c r="A270" s="84">
        <v>50008</v>
      </c>
      <c r="B270" s="654" t="s">
        <v>113</v>
      </c>
      <c r="C270" s="655"/>
      <c r="D270" s="87">
        <v>13290</v>
      </c>
      <c r="E270" s="80">
        <v>0</v>
      </c>
      <c r="F270" s="87">
        <v>24155</v>
      </c>
      <c r="G270" s="91">
        <f t="shared" ref="G270:G313" si="6">F270/D270</f>
        <v>1.8175319789315274</v>
      </c>
      <c r="H270" s="92" t="e">
        <f>F270/E270</f>
        <v>#DIV/0!</v>
      </c>
      <c r="I270" s="81">
        <f>F270/F272</f>
        <v>0.37990783755137719</v>
      </c>
    </row>
    <row r="271" spans="1:13" s="17" customFormat="1" ht="16.5" customHeight="1" x14ac:dyDescent="0.2">
      <c r="A271" s="84">
        <v>50212</v>
      </c>
      <c r="B271" s="654" t="s">
        <v>114</v>
      </c>
      <c r="C271" s="655"/>
      <c r="D271" s="96">
        <v>84181.54</v>
      </c>
      <c r="E271" s="80">
        <v>0</v>
      </c>
      <c r="F271" s="96">
        <v>39426.21</v>
      </c>
      <c r="G271" s="91">
        <f t="shared" si="6"/>
        <v>0.46834745479828477</v>
      </c>
      <c r="H271" s="92" t="e">
        <f>F271/E271</f>
        <v>#DIV/0!</v>
      </c>
      <c r="I271" s="81">
        <f>F271/F272</f>
        <v>0.62009216244862275</v>
      </c>
    </row>
    <row r="272" spans="1:13" s="17" customFormat="1" ht="16.5" customHeight="1" x14ac:dyDescent="0.2">
      <c r="A272" s="103"/>
      <c r="B272" s="678" t="s">
        <v>96</v>
      </c>
      <c r="C272" s="679"/>
      <c r="D272" s="95">
        <f>D270+D271</f>
        <v>97471.54</v>
      </c>
      <c r="E272" s="95">
        <f>E270+E271</f>
        <v>0</v>
      </c>
      <c r="F272" s="95">
        <f>F270+F271</f>
        <v>63581.21</v>
      </c>
      <c r="G272" s="33">
        <f t="shared" si="6"/>
        <v>0.6523053806270015</v>
      </c>
      <c r="H272" s="34" t="e">
        <f t="shared" ref="H272:H313" si="7">F272/E272</f>
        <v>#DIV/0!</v>
      </c>
      <c r="I272" s="35">
        <f>I270+I271</f>
        <v>1</v>
      </c>
    </row>
    <row r="273" spans="1:9" s="17" customFormat="1" ht="16.5" customHeight="1" x14ac:dyDescent="0.2">
      <c r="A273" s="103">
        <v>18295</v>
      </c>
      <c r="B273" s="698" t="s">
        <v>464</v>
      </c>
      <c r="C273" s="698"/>
      <c r="D273" s="95">
        <v>0</v>
      </c>
      <c r="E273" s="95"/>
      <c r="F273" s="95"/>
      <c r="G273" s="33"/>
      <c r="H273" s="34"/>
      <c r="I273" s="35"/>
    </row>
    <row r="274" spans="1:9" s="17" customFormat="1" ht="16.5" customHeight="1" x14ac:dyDescent="0.2">
      <c r="A274" s="98">
        <v>47019</v>
      </c>
      <c r="B274" s="104" t="s">
        <v>70</v>
      </c>
      <c r="C274" s="105"/>
      <c r="D274" s="106">
        <f>D288+D290</f>
        <v>90471.459999999992</v>
      </c>
      <c r="E274" s="106">
        <f>E288</f>
        <v>11897.6</v>
      </c>
      <c r="F274" s="106">
        <f>F288+F290</f>
        <v>61488.509999999995</v>
      </c>
      <c r="G274" s="52">
        <f>F274/D274</f>
        <v>0.6796453820906615</v>
      </c>
      <c r="H274" s="52">
        <f>F274/E274</f>
        <v>5.1681439954276485</v>
      </c>
      <c r="I274" s="52">
        <f>F274/F357</f>
        <v>8.1765560073244342E-3</v>
      </c>
    </row>
    <row r="275" spans="1:9" s="17" customFormat="1" ht="16.5" customHeight="1" x14ac:dyDescent="0.2">
      <c r="A275" s="84">
        <v>50012</v>
      </c>
      <c r="B275" s="654" t="s">
        <v>115</v>
      </c>
      <c r="C275" s="655"/>
      <c r="D275" s="87">
        <v>15099.26</v>
      </c>
      <c r="E275" s="80">
        <v>10816</v>
      </c>
      <c r="F275" s="87">
        <v>18919.7</v>
      </c>
      <c r="G275" s="91">
        <f>F275/D275</f>
        <v>1.2530216712607107</v>
      </c>
      <c r="H275" s="92">
        <f>F275/E275</f>
        <v>1.7492326183431954</v>
      </c>
      <c r="I275" s="81">
        <f>F275/F288</f>
        <v>0.89753174855429629</v>
      </c>
    </row>
    <row r="276" spans="1:9" s="17" customFormat="1" ht="16.5" customHeight="1" x14ac:dyDescent="0.2">
      <c r="A276" s="84">
        <v>50103</v>
      </c>
      <c r="B276" s="654" t="s">
        <v>466</v>
      </c>
      <c r="C276" s="655"/>
      <c r="D276" s="88">
        <v>0</v>
      </c>
      <c r="E276" s="80">
        <v>0</v>
      </c>
      <c r="F276" s="88">
        <v>0</v>
      </c>
      <c r="G276" s="91" t="e">
        <f>F276/D276</f>
        <v>#DIV/0!</v>
      </c>
      <c r="H276" s="92" t="e">
        <f>F276/E276</f>
        <v>#DIV/0!</v>
      </c>
      <c r="I276" s="81">
        <f>F276/F288</f>
        <v>0</v>
      </c>
    </row>
    <row r="277" spans="1:9" s="17" customFormat="1" ht="16.5" customHeight="1" x14ac:dyDescent="0.2">
      <c r="A277" s="84">
        <v>500121</v>
      </c>
      <c r="B277" s="654" t="s">
        <v>116</v>
      </c>
      <c r="C277" s="655"/>
      <c r="D277" s="80">
        <v>0</v>
      </c>
      <c r="E277" s="80">
        <v>0</v>
      </c>
      <c r="F277" s="80">
        <v>0</v>
      </c>
      <c r="G277" s="91" t="e">
        <f>F277/D277</f>
        <v>#DIV/0!</v>
      </c>
      <c r="H277" s="92" t="e">
        <f>F277/E277</f>
        <v>#DIV/0!</v>
      </c>
      <c r="I277" s="81">
        <f>F277/F288</f>
        <v>0</v>
      </c>
    </row>
    <row r="278" spans="1:9" s="17" customFormat="1" ht="16.5" customHeight="1" x14ac:dyDescent="0.2">
      <c r="A278" s="84">
        <v>500122</v>
      </c>
      <c r="B278" s="690" t="s">
        <v>117</v>
      </c>
      <c r="C278" s="691"/>
      <c r="D278" s="80">
        <v>0</v>
      </c>
      <c r="E278" s="80">
        <v>0</v>
      </c>
      <c r="F278" s="80">
        <v>0</v>
      </c>
      <c r="G278" s="91" t="e">
        <f>F278/D278</f>
        <v>#DIV/0!</v>
      </c>
      <c r="H278" s="92" t="e">
        <f>F278/E278</f>
        <v>#DIV/0!</v>
      </c>
      <c r="I278" s="81">
        <f>F278/F288</f>
        <v>0</v>
      </c>
    </row>
    <row r="279" spans="1:9" s="17" customFormat="1" ht="16.5" customHeight="1" x14ac:dyDescent="0.2">
      <c r="I279" s="15"/>
    </row>
    <row r="280" spans="1:9" s="17" customFormat="1" ht="16.5" customHeight="1" x14ac:dyDescent="0.2">
      <c r="I280" s="15"/>
    </row>
    <row r="281" spans="1:9" s="17" customFormat="1" ht="16.5" customHeight="1" x14ac:dyDescent="0.2">
      <c r="I281" s="297"/>
    </row>
    <row r="282" spans="1:9" s="17" customFormat="1" ht="16.5" customHeight="1" x14ac:dyDescent="0.2">
      <c r="I282" s="297"/>
    </row>
    <row r="283" spans="1:9" s="17" customFormat="1" ht="16.5" customHeight="1" x14ac:dyDescent="0.2">
      <c r="A283" s="84">
        <v>500123</v>
      </c>
      <c r="B283" s="690" t="s">
        <v>118</v>
      </c>
      <c r="C283" s="691"/>
      <c r="D283" s="80">
        <v>0</v>
      </c>
      <c r="E283" s="80">
        <v>0</v>
      </c>
      <c r="F283" s="80">
        <v>0</v>
      </c>
      <c r="G283" s="91" t="e">
        <f t="shared" si="6"/>
        <v>#DIV/0!</v>
      </c>
      <c r="H283" s="92" t="e">
        <f t="shared" si="7"/>
        <v>#DIV/0!</v>
      </c>
      <c r="I283" s="81">
        <f>F283/F288</f>
        <v>0</v>
      </c>
    </row>
    <row r="284" spans="1:9" s="17" customFormat="1" ht="16.5" customHeight="1" x14ac:dyDescent="0.2">
      <c r="A284" s="84">
        <v>50020</v>
      </c>
      <c r="B284" s="654" t="s">
        <v>119</v>
      </c>
      <c r="C284" s="655"/>
      <c r="D284" s="80">
        <v>0</v>
      </c>
      <c r="E284" s="80">
        <v>0</v>
      </c>
      <c r="F284" s="80">
        <v>0</v>
      </c>
      <c r="G284" s="91" t="e">
        <f t="shared" si="6"/>
        <v>#DIV/0!</v>
      </c>
      <c r="H284" s="92" t="e">
        <f t="shared" si="7"/>
        <v>#DIV/0!</v>
      </c>
      <c r="I284" s="81">
        <f>F284/F288</f>
        <v>0</v>
      </c>
    </row>
    <row r="285" spans="1:9" s="17" customFormat="1" ht="16.5" customHeight="1" x14ac:dyDescent="0.2">
      <c r="A285" s="84">
        <v>50203</v>
      </c>
      <c r="B285" s="692" t="s">
        <v>120</v>
      </c>
      <c r="C285" s="693"/>
      <c r="D285" s="80">
        <v>0</v>
      </c>
      <c r="E285" s="80">
        <v>0</v>
      </c>
      <c r="F285" s="80">
        <v>0</v>
      </c>
      <c r="G285" s="91" t="e">
        <f>F285/D285</f>
        <v>#DIV/0!</v>
      </c>
      <c r="H285" s="92" t="e">
        <f>F285/E285</f>
        <v>#DIV/0!</v>
      </c>
      <c r="I285" s="81">
        <f>F285/F288</f>
        <v>0</v>
      </c>
    </row>
    <row r="286" spans="1:9" s="17" customFormat="1" ht="16.5" customHeight="1" x14ac:dyDescent="0.2">
      <c r="A286" s="84">
        <v>50403</v>
      </c>
      <c r="B286" s="690" t="s">
        <v>121</v>
      </c>
      <c r="C286" s="691"/>
      <c r="D286" s="80">
        <v>0</v>
      </c>
      <c r="E286" s="80">
        <v>0</v>
      </c>
      <c r="F286" s="80">
        <v>0</v>
      </c>
      <c r="G286" s="91" t="e">
        <f t="shared" si="6"/>
        <v>#DIV/0!</v>
      </c>
      <c r="H286" s="92" t="e">
        <f t="shared" si="7"/>
        <v>#DIV/0!</v>
      </c>
      <c r="I286" s="81">
        <f>F286/F288</f>
        <v>0</v>
      </c>
    </row>
    <row r="287" spans="1:9" s="17" customFormat="1" ht="16.5" customHeight="1" x14ac:dyDescent="0.2">
      <c r="A287" s="84">
        <v>50405</v>
      </c>
      <c r="B287" s="690" t="s">
        <v>122</v>
      </c>
      <c r="C287" s="691"/>
      <c r="D287" s="87">
        <v>2160</v>
      </c>
      <c r="E287" s="80">
        <v>1081.5999999999999</v>
      </c>
      <c r="F287" s="87">
        <v>2160</v>
      </c>
      <c r="G287" s="91">
        <f t="shared" si="6"/>
        <v>1</v>
      </c>
      <c r="H287" s="92">
        <f t="shared" si="7"/>
        <v>1.9970414201183433</v>
      </c>
      <c r="I287" s="81">
        <f>F287/F288</f>
        <v>0.10246825144570368</v>
      </c>
    </row>
    <row r="288" spans="1:9" s="17" customFormat="1" ht="16.5" customHeight="1" x14ac:dyDescent="0.2">
      <c r="A288" s="84"/>
      <c r="B288" s="678" t="s">
        <v>96</v>
      </c>
      <c r="C288" s="679"/>
      <c r="D288" s="107">
        <f>D275+D277+D278+D283+D284+D285+D286+D287</f>
        <v>17259.260000000002</v>
      </c>
      <c r="E288" s="107">
        <f>E275+E277+E278+E283+E284+E285+E286+E287</f>
        <v>11897.6</v>
      </c>
      <c r="F288" s="107">
        <f>F275+F277+F278+F283+F284+F285+F286+F287</f>
        <v>21079.7</v>
      </c>
      <c r="G288" s="33">
        <f>F288/D288</f>
        <v>1.2213559561649803</v>
      </c>
      <c r="H288" s="34">
        <f>F288/E288</f>
        <v>1.7717606912318451</v>
      </c>
      <c r="I288" s="35">
        <f>F288/F274</f>
        <v>0.3428233990382919</v>
      </c>
    </row>
    <row r="289" spans="1:9" s="17" customFormat="1" ht="16.5" customHeight="1" x14ac:dyDescent="0.2">
      <c r="A289" s="424">
        <v>56000</v>
      </c>
      <c r="B289" s="678" t="s">
        <v>157</v>
      </c>
      <c r="C289" s="679"/>
      <c r="D289" s="107">
        <f>D290</f>
        <v>73212.2</v>
      </c>
      <c r="E289" s="107">
        <v>0</v>
      </c>
      <c r="F289" s="107">
        <f>F290</f>
        <v>40408.81</v>
      </c>
      <c r="G289" s="33">
        <f>F289/D289</f>
        <v>0.55194093334171079</v>
      </c>
      <c r="H289" s="34" t="e">
        <f>F289/E289</f>
        <v>#DIV/0!</v>
      </c>
      <c r="I289" s="35">
        <f>F289/F274</f>
        <v>0.65717660096170816</v>
      </c>
    </row>
    <row r="290" spans="1:9" s="17" customFormat="1" ht="16.5" customHeight="1" x14ac:dyDescent="0.2">
      <c r="A290" s="84"/>
      <c r="B290" s="678" t="s">
        <v>123</v>
      </c>
      <c r="C290" s="679"/>
      <c r="D290" s="107">
        <v>73212.2</v>
      </c>
      <c r="E290" s="107">
        <v>0</v>
      </c>
      <c r="F290" s="107">
        <v>40408.81</v>
      </c>
      <c r="G290" s="33">
        <f>F290/D290</f>
        <v>0.55194093334171079</v>
      </c>
      <c r="H290" s="34" t="e">
        <f>F290/E290</f>
        <v>#DIV/0!</v>
      </c>
      <c r="I290" s="35">
        <f>I288+I289</f>
        <v>1</v>
      </c>
    </row>
    <row r="291" spans="1:9" s="17" customFormat="1" ht="17.25" customHeight="1" x14ac:dyDescent="0.2">
      <c r="A291" s="98">
        <v>48019</v>
      </c>
      <c r="B291" s="638" t="s">
        <v>71</v>
      </c>
      <c r="C291" s="639"/>
      <c r="D291" s="106">
        <f>D298+D299</f>
        <v>343151.67</v>
      </c>
      <c r="E291" s="106">
        <f>E298</f>
        <v>20000</v>
      </c>
      <c r="F291" s="106">
        <f>F298+F299</f>
        <v>252915.29</v>
      </c>
      <c r="G291" s="52">
        <f>F291/D291</f>
        <v>0.73703645388058292</v>
      </c>
      <c r="H291" s="52">
        <f>F291/E291</f>
        <v>12.6457645</v>
      </c>
      <c r="I291" s="52">
        <f>F291/F357</f>
        <v>3.3631909990886132E-2</v>
      </c>
    </row>
    <row r="292" spans="1:9" s="17" customFormat="1" ht="16.5" customHeight="1" x14ac:dyDescent="0.2">
      <c r="A292" s="108">
        <v>50017</v>
      </c>
      <c r="B292" s="676" t="s">
        <v>124</v>
      </c>
      <c r="C292" s="677"/>
      <c r="D292" s="80">
        <v>0</v>
      </c>
      <c r="E292" s="80">
        <v>0</v>
      </c>
      <c r="F292" s="80">
        <v>0</v>
      </c>
      <c r="G292" s="91" t="e">
        <f t="shared" si="6"/>
        <v>#DIV/0!</v>
      </c>
      <c r="H292" s="92" t="e">
        <f t="shared" si="7"/>
        <v>#DIV/0!</v>
      </c>
      <c r="I292" s="81">
        <f>F292/F298</f>
        <v>0</v>
      </c>
    </row>
    <row r="293" spans="1:9" s="17" customFormat="1" ht="16.5" customHeight="1" x14ac:dyDescent="0.2">
      <c r="A293" s="109">
        <v>50019</v>
      </c>
      <c r="B293" s="686" t="s">
        <v>125</v>
      </c>
      <c r="C293" s="687"/>
      <c r="D293" s="80">
        <v>300</v>
      </c>
      <c r="E293" s="80">
        <v>0</v>
      </c>
      <c r="F293" s="80">
        <v>0</v>
      </c>
      <c r="G293" s="91">
        <f t="shared" si="6"/>
        <v>0</v>
      </c>
      <c r="H293" s="92" t="e">
        <f t="shared" si="7"/>
        <v>#DIV/0!</v>
      </c>
      <c r="I293" s="81">
        <f>F293/F298</f>
        <v>0</v>
      </c>
    </row>
    <row r="294" spans="1:9" s="17" customFormat="1" ht="16.5" customHeight="1" x14ac:dyDescent="0.2">
      <c r="A294" s="84">
        <v>50206</v>
      </c>
      <c r="B294" s="688" t="s">
        <v>707</v>
      </c>
      <c r="C294" s="689"/>
      <c r="D294" s="110">
        <v>6200</v>
      </c>
      <c r="E294" s="493">
        <v>0</v>
      </c>
      <c r="F294" s="110">
        <v>3350</v>
      </c>
      <c r="G294" s="91">
        <f t="shared" si="6"/>
        <v>0.54032258064516125</v>
      </c>
      <c r="H294" s="92" t="e">
        <f t="shared" si="7"/>
        <v>#DIV/0!</v>
      </c>
      <c r="I294" s="81">
        <f>F294/F298</f>
        <v>0.10034446607757976</v>
      </c>
    </row>
    <row r="295" spans="1:9" s="17" customFormat="1" ht="16.5" customHeight="1" x14ac:dyDescent="0.2">
      <c r="A295" s="84">
        <v>50208</v>
      </c>
      <c r="B295" s="688" t="s">
        <v>400</v>
      </c>
      <c r="C295" s="689"/>
      <c r="D295" s="110">
        <v>9600</v>
      </c>
      <c r="E295" s="493">
        <v>5000</v>
      </c>
      <c r="F295" s="110">
        <v>19985</v>
      </c>
      <c r="G295" s="91">
        <f t="shared" si="6"/>
        <v>2.0817708333333331</v>
      </c>
      <c r="H295" s="92">
        <f t="shared" si="7"/>
        <v>3.9969999999999999</v>
      </c>
      <c r="I295" s="81">
        <f>F295/F298</f>
        <v>0.59862213568968103</v>
      </c>
    </row>
    <row r="296" spans="1:9" s="17" customFormat="1" ht="16.5" customHeight="1" x14ac:dyDescent="0.2">
      <c r="A296" s="84" t="s">
        <v>128</v>
      </c>
      <c r="B296" s="688" t="s">
        <v>401</v>
      </c>
      <c r="C296" s="689"/>
      <c r="D296" s="110">
        <v>0</v>
      </c>
      <c r="E296" s="493">
        <v>0</v>
      </c>
      <c r="F296" s="110">
        <v>0</v>
      </c>
      <c r="G296" s="91" t="e">
        <f t="shared" si="6"/>
        <v>#DIV/0!</v>
      </c>
      <c r="H296" s="92" t="e">
        <f t="shared" si="7"/>
        <v>#DIV/0!</v>
      </c>
      <c r="I296" s="81">
        <f>F296/F298</f>
        <v>0</v>
      </c>
    </row>
    <row r="297" spans="1:9" s="17" customFormat="1" ht="16.5" customHeight="1" x14ac:dyDescent="0.2">
      <c r="A297" s="86">
        <v>50211</v>
      </c>
      <c r="B297" s="688" t="s">
        <v>402</v>
      </c>
      <c r="C297" s="689"/>
      <c r="D297" s="110">
        <v>25920</v>
      </c>
      <c r="E297" s="493">
        <v>15000</v>
      </c>
      <c r="F297" s="110">
        <v>10050</v>
      </c>
      <c r="G297" s="91">
        <f t="shared" si="6"/>
        <v>0.38773148148148145</v>
      </c>
      <c r="H297" s="92">
        <f t="shared" si="7"/>
        <v>0.67</v>
      </c>
      <c r="I297" s="81">
        <f>F297/F298</f>
        <v>0.30103339823273928</v>
      </c>
    </row>
    <row r="298" spans="1:9" s="17" customFormat="1" ht="16.5" customHeight="1" x14ac:dyDescent="0.2">
      <c r="A298" s="111"/>
      <c r="B298" s="680" t="s">
        <v>96</v>
      </c>
      <c r="C298" s="681"/>
      <c r="D298" s="95">
        <f>D292+D293+D294+D295+D296+D297</f>
        <v>42020</v>
      </c>
      <c r="E298" s="95">
        <f>E292+E293+E294+E295+E296+E297</f>
        <v>20000</v>
      </c>
      <c r="F298" s="95">
        <f>F292+F293+F294+F295+F296+F297</f>
        <v>33385</v>
      </c>
      <c r="G298" s="33">
        <f t="shared" si="6"/>
        <v>0.79450261780104714</v>
      </c>
      <c r="H298" s="34">
        <f t="shared" si="7"/>
        <v>1.6692499999999999</v>
      </c>
      <c r="I298" s="35">
        <f>F298/F291</f>
        <v>0.13200071850143974</v>
      </c>
    </row>
    <row r="299" spans="1:9" s="17" customFormat="1" ht="16.5" customHeight="1" x14ac:dyDescent="0.2">
      <c r="A299" s="111"/>
      <c r="B299" s="680" t="s">
        <v>717</v>
      </c>
      <c r="C299" s="681"/>
      <c r="D299" s="95">
        <f>D300</f>
        <v>301131.67</v>
      </c>
      <c r="E299" s="95">
        <v>0</v>
      </c>
      <c r="F299" s="95">
        <f>F300</f>
        <v>219530.29</v>
      </c>
      <c r="G299" s="33">
        <f t="shared" si="6"/>
        <v>0.72901760880879785</v>
      </c>
      <c r="H299" s="34" t="e">
        <f t="shared" si="7"/>
        <v>#DIV/0!</v>
      </c>
      <c r="I299" s="35">
        <f>F299/F291</f>
        <v>0.8679992814985602</v>
      </c>
    </row>
    <row r="300" spans="1:9" s="17" customFormat="1" ht="16.5" customHeight="1" x14ac:dyDescent="0.2">
      <c r="A300" s="111"/>
      <c r="B300" s="590"/>
      <c r="C300" s="591" t="s">
        <v>718</v>
      </c>
      <c r="D300" s="95">
        <v>301131.67</v>
      </c>
      <c r="E300" s="95">
        <v>0</v>
      </c>
      <c r="F300" s="95">
        <f>26218.12+193312.17</f>
        <v>219530.29</v>
      </c>
      <c r="G300" s="33">
        <f>F300/D300</f>
        <v>0.72901760880879785</v>
      </c>
      <c r="H300" s="34" t="e">
        <f t="shared" si="7"/>
        <v>#DIV/0!</v>
      </c>
      <c r="I300" s="35">
        <f>I298+I299</f>
        <v>1</v>
      </c>
    </row>
    <row r="301" spans="1:9" s="17" customFormat="1" ht="17.25" customHeight="1" x14ac:dyDescent="0.2">
      <c r="A301" s="98">
        <v>650</v>
      </c>
      <c r="B301" s="638" t="s">
        <v>130</v>
      </c>
      <c r="C301" s="639"/>
      <c r="D301" s="106">
        <f>D302</f>
        <v>436071.73000000004</v>
      </c>
      <c r="E301" s="106">
        <f>E302+E310</f>
        <v>721000</v>
      </c>
      <c r="F301" s="106">
        <f>F302</f>
        <v>335897</v>
      </c>
      <c r="G301" s="52">
        <f t="shared" si="6"/>
        <v>0.77027923823449862</v>
      </c>
      <c r="H301" s="52">
        <f t="shared" si="7"/>
        <v>0.465876560332871</v>
      </c>
      <c r="I301" s="52">
        <f>F301/F357</f>
        <v>4.4666566699896548E-2</v>
      </c>
    </row>
    <row r="302" spans="1:9" s="17" customFormat="1" ht="16.5" customHeight="1" x14ac:dyDescent="0.2">
      <c r="A302" s="100">
        <v>65095</v>
      </c>
      <c r="B302" s="684" t="s">
        <v>131</v>
      </c>
      <c r="C302" s="685"/>
      <c r="D302" s="101">
        <f>D309</f>
        <v>436071.73000000004</v>
      </c>
      <c r="E302" s="101">
        <f>E309</f>
        <v>370000</v>
      </c>
      <c r="F302" s="101">
        <f>F309</f>
        <v>335897</v>
      </c>
      <c r="G302" s="102">
        <f t="shared" si="6"/>
        <v>0.77027923823449862</v>
      </c>
      <c r="H302" s="102">
        <f t="shared" si="7"/>
        <v>0.90782972972972975</v>
      </c>
      <c r="I302" s="102">
        <f>F302/F301</f>
        <v>1</v>
      </c>
    </row>
    <row r="303" spans="1:9" s="17" customFormat="1" ht="16.5" customHeight="1" x14ac:dyDescent="0.2">
      <c r="A303" s="84">
        <v>50011</v>
      </c>
      <c r="B303" s="654" t="s">
        <v>132</v>
      </c>
      <c r="C303" s="655"/>
      <c r="D303" s="110">
        <v>145757</v>
      </c>
      <c r="E303" s="80">
        <v>120000</v>
      </c>
      <c r="F303" s="110">
        <v>132612</v>
      </c>
      <c r="G303" s="91">
        <f t="shared" si="6"/>
        <v>0.90981565207845938</v>
      </c>
      <c r="H303" s="92">
        <f t="shared" si="7"/>
        <v>1.1051</v>
      </c>
      <c r="I303" s="81">
        <f>F303/F309</f>
        <v>0.39479959630481964</v>
      </c>
    </row>
    <row r="304" spans="1:9" s="17" customFormat="1" ht="16.5" customHeight="1" x14ac:dyDescent="0.2">
      <c r="A304" s="84">
        <v>50019</v>
      </c>
      <c r="B304" s="654" t="s">
        <v>94</v>
      </c>
      <c r="C304" s="655"/>
      <c r="D304" s="110">
        <v>5588</v>
      </c>
      <c r="E304" s="493">
        <v>0</v>
      </c>
      <c r="F304" s="110">
        <v>13885</v>
      </c>
      <c r="G304" s="91">
        <f t="shared" si="6"/>
        <v>2.4847888332140302</v>
      </c>
      <c r="H304" s="92" t="e">
        <f t="shared" si="7"/>
        <v>#DIV/0!</v>
      </c>
      <c r="I304" s="81">
        <f>F304/F309</f>
        <v>4.1337076544297809E-2</v>
      </c>
    </row>
    <row r="305" spans="1:9" s="17" customFormat="1" ht="16.5" customHeight="1" x14ac:dyDescent="0.2">
      <c r="A305" s="86">
        <v>50032</v>
      </c>
      <c r="B305" s="654" t="s">
        <v>527</v>
      </c>
      <c r="C305" s="655"/>
      <c r="D305" s="110">
        <v>149714.9</v>
      </c>
      <c r="E305" s="493">
        <v>125000</v>
      </c>
      <c r="F305" s="110">
        <v>102300</v>
      </c>
      <c r="G305" s="91">
        <f>F305/D305</f>
        <v>0.68329872310638418</v>
      </c>
      <c r="H305" s="92">
        <f>F305/E305</f>
        <v>0.81840000000000002</v>
      </c>
      <c r="I305" s="81">
        <f>F305/F309</f>
        <v>0.30455764713587796</v>
      </c>
    </row>
    <row r="306" spans="1:9" s="17" customFormat="1" ht="16.5" customHeight="1" x14ac:dyDescent="0.2">
      <c r="A306" s="86">
        <v>50409</v>
      </c>
      <c r="B306" s="457" t="s">
        <v>500</v>
      </c>
      <c r="C306" s="458"/>
      <c r="D306" s="110">
        <v>0</v>
      </c>
      <c r="E306" s="493">
        <v>0</v>
      </c>
      <c r="F306" s="110">
        <v>0</v>
      </c>
      <c r="G306" s="91" t="e">
        <f>F306/D306</f>
        <v>#DIV/0!</v>
      </c>
      <c r="H306" s="92" t="e">
        <f>F306/E306</f>
        <v>#DIV/0!</v>
      </c>
      <c r="I306" s="81">
        <f>F306/F309</f>
        <v>0</v>
      </c>
    </row>
    <row r="307" spans="1:9" s="17" customFormat="1" ht="16.5" customHeight="1" x14ac:dyDescent="0.2">
      <c r="A307" s="86">
        <v>50460</v>
      </c>
      <c r="B307" s="654" t="s">
        <v>133</v>
      </c>
      <c r="C307" s="655"/>
      <c r="D307" s="110">
        <v>22698.33</v>
      </c>
      <c r="E307" s="493">
        <v>15000</v>
      </c>
      <c r="F307" s="110">
        <v>19535</v>
      </c>
      <c r="G307" s="91">
        <f t="shared" si="6"/>
        <v>0.8606360027367651</v>
      </c>
      <c r="H307" s="92">
        <f t="shared" si="7"/>
        <v>1.3023333333333333</v>
      </c>
      <c r="I307" s="81">
        <f>F307/F309</f>
        <v>5.8157709059622441E-2</v>
      </c>
    </row>
    <row r="308" spans="1:9" s="17" customFormat="1" ht="16.5" customHeight="1" x14ac:dyDescent="0.2">
      <c r="A308" s="84">
        <v>50504</v>
      </c>
      <c r="B308" s="654" t="s">
        <v>134</v>
      </c>
      <c r="C308" s="655"/>
      <c r="D308" s="110">
        <v>112313.5</v>
      </c>
      <c r="E308" s="493">
        <v>110000</v>
      </c>
      <c r="F308" s="110">
        <v>67565</v>
      </c>
      <c r="G308" s="91">
        <f t="shared" si="6"/>
        <v>0.60157505553651169</v>
      </c>
      <c r="H308" s="92">
        <f t="shared" si="7"/>
        <v>0.61422727272727273</v>
      </c>
      <c r="I308" s="81">
        <f>F308/F309</f>
        <v>0.20114797095538214</v>
      </c>
    </row>
    <row r="309" spans="1:9" s="17" customFormat="1" ht="16.5" customHeight="1" x14ac:dyDescent="0.2">
      <c r="A309" s="84"/>
      <c r="B309" s="678" t="s">
        <v>96</v>
      </c>
      <c r="C309" s="679"/>
      <c r="D309" s="112">
        <f>D303+D304+D305+D306+D307+D308</f>
        <v>436071.73000000004</v>
      </c>
      <c r="E309" s="112">
        <f>E303+E304+E305+E306+E307+E308</f>
        <v>370000</v>
      </c>
      <c r="F309" s="112">
        <f>F303+F304+F305+F306+F307+F308</f>
        <v>335897</v>
      </c>
      <c r="G309" s="33">
        <f t="shared" si="6"/>
        <v>0.77027923823449862</v>
      </c>
      <c r="H309" s="34">
        <f t="shared" si="7"/>
        <v>0.90782972972972975</v>
      </c>
      <c r="I309" s="35">
        <f>I303+I304+I305+I306+I307+I308</f>
        <v>1</v>
      </c>
    </row>
    <row r="310" spans="1:9" s="17" customFormat="1" ht="17.25" customHeight="1" x14ac:dyDescent="0.2">
      <c r="A310" s="100">
        <v>65495</v>
      </c>
      <c r="B310" s="684" t="s">
        <v>135</v>
      </c>
      <c r="C310" s="685"/>
      <c r="D310" s="101">
        <f>D316</f>
        <v>638163.82999999996</v>
      </c>
      <c r="E310" s="101">
        <f>E316</f>
        <v>351000</v>
      </c>
      <c r="F310" s="101">
        <f>F316</f>
        <v>526283.64</v>
      </c>
      <c r="G310" s="102">
        <f t="shared" si="6"/>
        <v>0.82468421941118164</v>
      </c>
      <c r="H310" s="102">
        <f t="shared" si="7"/>
        <v>1.4993835897435899</v>
      </c>
      <c r="I310" s="102">
        <f>F310/F357</f>
        <v>6.9983606013523034E-2</v>
      </c>
    </row>
    <row r="311" spans="1:9" s="17" customFormat="1" ht="17.25" customHeight="1" x14ac:dyDescent="0.2">
      <c r="A311" s="216">
        <v>50008</v>
      </c>
      <c r="B311" s="448" t="s">
        <v>528</v>
      </c>
      <c r="C311" s="522"/>
      <c r="D311" s="79">
        <v>89667.5</v>
      </c>
      <c r="E311" s="80">
        <v>15000</v>
      </c>
      <c r="F311" s="79">
        <v>0</v>
      </c>
      <c r="G311" s="81">
        <f>F311/D311</f>
        <v>0</v>
      </c>
      <c r="H311" s="81">
        <f>F311/E311</f>
        <v>0</v>
      </c>
      <c r="I311" s="81">
        <f>F311/F316</f>
        <v>0</v>
      </c>
    </row>
    <row r="312" spans="1:9" s="17" customFormat="1" ht="16.5" customHeight="1" x14ac:dyDescent="0.2">
      <c r="A312" s="86">
        <v>50212</v>
      </c>
      <c r="B312" s="654" t="s">
        <v>403</v>
      </c>
      <c r="C312" s="655"/>
      <c r="D312" s="79">
        <v>22454.400000000001</v>
      </c>
      <c r="E312" s="493">
        <v>115000</v>
      </c>
      <c r="F312" s="79">
        <v>51375.25</v>
      </c>
      <c r="G312" s="91">
        <f t="shared" si="6"/>
        <v>2.2879814201225592</v>
      </c>
      <c r="H312" s="92">
        <f t="shared" si="7"/>
        <v>0.44674130434782611</v>
      </c>
      <c r="I312" s="81">
        <f>F312/F316</f>
        <v>9.7618937955206056E-2</v>
      </c>
    </row>
    <row r="313" spans="1:9" s="17" customFormat="1" ht="16.5" customHeight="1" x14ac:dyDescent="0.2">
      <c r="A313" s="84">
        <v>50405</v>
      </c>
      <c r="B313" s="654" t="s">
        <v>122</v>
      </c>
      <c r="C313" s="655"/>
      <c r="D313" s="6">
        <v>0</v>
      </c>
      <c r="E313" s="493">
        <v>170000</v>
      </c>
      <c r="F313" s="6">
        <v>5853</v>
      </c>
      <c r="G313" s="91" t="e">
        <f t="shared" si="6"/>
        <v>#DIV/0!</v>
      </c>
      <c r="H313" s="92">
        <f t="shared" si="7"/>
        <v>3.4429411764705882E-2</v>
      </c>
      <c r="I313" s="81">
        <f>F313/F316</f>
        <v>1.1121379338335503E-2</v>
      </c>
    </row>
    <row r="314" spans="1:9" s="17" customFormat="1" ht="16.5" customHeight="1" x14ac:dyDescent="0.2">
      <c r="A314" s="84">
        <v>50408</v>
      </c>
      <c r="B314" s="654" t="s">
        <v>136</v>
      </c>
      <c r="C314" s="655"/>
      <c r="D314" s="110">
        <v>293355.71000000002</v>
      </c>
      <c r="E314" s="493">
        <v>51000</v>
      </c>
      <c r="F314" s="110">
        <v>323736.39</v>
      </c>
      <c r="G314" s="91">
        <f>F314/D314</f>
        <v>1.1035625998212204</v>
      </c>
      <c r="H314" s="92">
        <f t="shared" ref="H314:H323" si="8">F314/E314</f>
        <v>6.3477723529411767</v>
      </c>
      <c r="I314" s="81">
        <f>F314/F316</f>
        <v>0.61513671601116082</v>
      </c>
    </row>
    <row r="315" spans="1:9" s="17" customFormat="1" ht="16.5" customHeight="1" x14ac:dyDescent="0.2">
      <c r="A315" s="84">
        <v>50413</v>
      </c>
      <c r="B315" s="654" t="s">
        <v>137</v>
      </c>
      <c r="C315" s="655"/>
      <c r="D315" s="110">
        <v>232686.22</v>
      </c>
      <c r="E315" s="80">
        <v>0</v>
      </c>
      <c r="F315" s="110">
        <v>145319</v>
      </c>
      <c r="G315" s="91">
        <f>F315/D315</f>
        <v>0.62452774384318932</v>
      </c>
      <c r="H315" s="92" t="e">
        <f t="shared" si="8"/>
        <v>#DIV/0!</v>
      </c>
      <c r="I315" s="81">
        <f>F315/F316</f>
        <v>0.27612296669529762</v>
      </c>
    </row>
    <row r="316" spans="1:9" s="17" customFormat="1" ht="16.5" customHeight="1" x14ac:dyDescent="0.2">
      <c r="A316" s="84"/>
      <c r="B316" s="678" t="s">
        <v>96</v>
      </c>
      <c r="C316" s="679"/>
      <c r="D316" s="112">
        <f>D311+D312+D313+D314+D315</f>
        <v>638163.82999999996</v>
      </c>
      <c r="E316" s="112">
        <f>E311+E312+E313+E314+E315</f>
        <v>351000</v>
      </c>
      <c r="F316" s="112">
        <f>F311+F312+F313+F314+F315</f>
        <v>526283.64</v>
      </c>
      <c r="G316" s="33">
        <f>F316/D316</f>
        <v>0.82468421941118164</v>
      </c>
      <c r="H316" s="34">
        <f t="shared" si="8"/>
        <v>1.4993835897435899</v>
      </c>
      <c r="I316" s="35">
        <f>I311+I312+I313+I314+I315</f>
        <v>1</v>
      </c>
    </row>
    <row r="317" spans="1:9" s="17" customFormat="1" ht="17.25" customHeight="1" x14ac:dyDescent="0.2">
      <c r="A317" s="425">
        <v>66100</v>
      </c>
      <c r="B317" s="638" t="s">
        <v>73</v>
      </c>
      <c r="C317" s="639"/>
      <c r="D317" s="99">
        <f>D320</f>
        <v>624559.39999999991</v>
      </c>
      <c r="E317" s="99">
        <f>E320</f>
        <v>687059.39999999991</v>
      </c>
      <c r="F317" s="99">
        <f>F320</f>
        <v>1231217.4000000001</v>
      </c>
      <c r="G317" s="52">
        <f t="shared" ref="G317:G357" si="9">F317/D317</f>
        <v>1.9713375541221545</v>
      </c>
      <c r="H317" s="52">
        <f t="shared" si="8"/>
        <v>1.7920101231421917</v>
      </c>
      <c r="I317" s="52">
        <f>F317/F357</f>
        <v>0.16372356442353822</v>
      </c>
    </row>
    <row r="318" spans="1:9" s="17" customFormat="1" ht="16.5" customHeight="1" x14ac:dyDescent="0.2">
      <c r="A318" s="84">
        <v>50009</v>
      </c>
      <c r="B318" s="654" t="s">
        <v>138</v>
      </c>
      <c r="C318" s="655"/>
      <c r="D318" s="6">
        <v>605973.21</v>
      </c>
      <c r="E318" s="493">
        <v>581176.19999999995</v>
      </c>
      <c r="F318" s="6">
        <v>1199880.6200000001</v>
      </c>
      <c r="G318" s="91">
        <f t="shared" si="9"/>
        <v>1.9800885587004748</v>
      </c>
      <c r="H318" s="92">
        <f t="shared" si="8"/>
        <v>2.0645728782424335</v>
      </c>
      <c r="I318" s="81">
        <f>F318/F320</f>
        <v>0.97454813422877229</v>
      </c>
    </row>
    <row r="319" spans="1:9" s="17" customFormat="1" ht="16.5" customHeight="1" x14ac:dyDescent="0.2">
      <c r="A319" s="84">
        <v>50026</v>
      </c>
      <c r="B319" s="654" t="s">
        <v>139</v>
      </c>
      <c r="C319" s="655"/>
      <c r="D319" s="6">
        <v>18586.189999999999</v>
      </c>
      <c r="E319" s="493">
        <v>105883.2</v>
      </c>
      <c r="F319" s="6">
        <v>31336.78</v>
      </c>
      <c r="G319" s="91">
        <f t="shared" si="9"/>
        <v>1.6860249464790795</v>
      </c>
      <c r="H319" s="92">
        <f t="shared" si="8"/>
        <v>0.29595611012889672</v>
      </c>
      <c r="I319" s="81">
        <f>F319/F320</f>
        <v>2.5451865771227725E-2</v>
      </c>
    </row>
    <row r="320" spans="1:9" s="17" customFormat="1" ht="16.5" customHeight="1" x14ac:dyDescent="0.2">
      <c r="A320" s="84"/>
      <c r="B320" s="678" t="s">
        <v>96</v>
      </c>
      <c r="C320" s="679"/>
      <c r="D320" s="112">
        <f>D318+D319</f>
        <v>624559.39999999991</v>
      </c>
      <c r="E320" s="112">
        <f>E318+E319</f>
        <v>687059.39999999991</v>
      </c>
      <c r="F320" s="112">
        <f>F318+F319</f>
        <v>1231217.4000000001</v>
      </c>
      <c r="G320" s="33">
        <f t="shared" si="9"/>
        <v>1.9713375541221545</v>
      </c>
      <c r="H320" s="34">
        <f t="shared" si="8"/>
        <v>1.7920101231421917</v>
      </c>
      <c r="I320" s="35">
        <f>I318+I319</f>
        <v>1</v>
      </c>
    </row>
    <row r="321" spans="1:9" s="17" customFormat="1" ht="17.25" customHeight="1" x14ac:dyDescent="0.2">
      <c r="A321" s="98"/>
      <c r="B321" s="638" t="s">
        <v>74</v>
      </c>
      <c r="C321" s="639"/>
      <c r="D321" s="113">
        <f>D322</f>
        <v>106924.5</v>
      </c>
      <c r="E321" s="113">
        <f>E323</f>
        <v>107000</v>
      </c>
      <c r="F321" s="113">
        <f>F323</f>
        <v>112347.5</v>
      </c>
      <c r="G321" s="52">
        <f t="shared" si="9"/>
        <v>1.0507180300118308</v>
      </c>
      <c r="H321" s="52">
        <f t="shared" si="8"/>
        <v>1.0499766355140188</v>
      </c>
      <c r="I321" s="52">
        <f>F321/F357</f>
        <v>1.4939630607944183E-2</v>
      </c>
    </row>
    <row r="322" spans="1:9" s="17" customFormat="1" ht="17.25" customHeight="1" x14ac:dyDescent="0.2">
      <c r="A322" s="98">
        <v>74100</v>
      </c>
      <c r="B322" s="638" t="s">
        <v>140</v>
      </c>
      <c r="C322" s="639"/>
      <c r="D322" s="106">
        <f>D323</f>
        <v>106924.5</v>
      </c>
      <c r="E322" s="106">
        <f>E323</f>
        <v>107000</v>
      </c>
      <c r="F322" s="106">
        <f>F323</f>
        <v>112347.5</v>
      </c>
      <c r="G322" s="52">
        <f t="shared" si="9"/>
        <v>1.0507180300118308</v>
      </c>
      <c r="H322" s="52">
        <f t="shared" si="8"/>
        <v>1.0499766355140188</v>
      </c>
      <c r="I322" s="52">
        <f>F322/F321</f>
        <v>1</v>
      </c>
    </row>
    <row r="323" spans="1:9" s="17" customFormat="1" ht="16.5" customHeight="1" x14ac:dyDescent="0.2">
      <c r="A323" s="114"/>
      <c r="B323" s="678" t="s">
        <v>96</v>
      </c>
      <c r="C323" s="679"/>
      <c r="D323" s="115">
        <v>106924.5</v>
      </c>
      <c r="E323" s="115">
        <v>107000</v>
      </c>
      <c r="F323" s="115">
        <v>112347.5</v>
      </c>
      <c r="G323" s="116">
        <f t="shared" si="9"/>
        <v>1.0507180300118308</v>
      </c>
      <c r="H323" s="116">
        <f t="shared" si="8"/>
        <v>1.0499766355140188</v>
      </c>
      <c r="I323" s="116">
        <f>I322</f>
        <v>1</v>
      </c>
    </row>
    <row r="324" spans="1:9" s="17" customFormat="1" ht="17.25" customHeight="1" x14ac:dyDescent="0.2">
      <c r="A324" s="98">
        <v>85019</v>
      </c>
      <c r="B324" s="638" t="s">
        <v>40</v>
      </c>
      <c r="C324" s="639"/>
      <c r="D324" s="99">
        <f>D328+D329</f>
        <v>16327.05</v>
      </c>
      <c r="E324" s="99">
        <f>E328+E329</f>
        <v>500</v>
      </c>
      <c r="F324" s="99">
        <f>F328+F329</f>
        <v>1389</v>
      </c>
      <c r="G324" s="52">
        <f t="shared" ref="G324:G331" si="10">F324/D324</f>
        <v>8.5073543597894291E-2</v>
      </c>
      <c r="H324" s="52">
        <f t="shared" ref="H324:H331" si="11">F324/E324</f>
        <v>2.778</v>
      </c>
      <c r="I324" s="52">
        <f>F324/F357</f>
        <v>1.8470501715155631E-4</v>
      </c>
    </row>
    <row r="325" spans="1:9" s="17" customFormat="1" ht="16.5" customHeight="1" x14ac:dyDescent="0.2">
      <c r="A325" s="84" t="s">
        <v>370</v>
      </c>
      <c r="B325" s="654" t="s">
        <v>141</v>
      </c>
      <c r="C325" s="655"/>
      <c r="D325" s="6">
        <v>0</v>
      </c>
      <c r="E325" s="6">
        <v>500</v>
      </c>
      <c r="F325" s="6">
        <v>0</v>
      </c>
      <c r="G325" s="91" t="e">
        <f t="shared" si="10"/>
        <v>#DIV/0!</v>
      </c>
      <c r="H325" s="92">
        <f t="shared" si="11"/>
        <v>0</v>
      </c>
      <c r="I325" s="81">
        <f>F325/F328</f>
        <v>0</v>
      </c>
    </row>
    <row r="326" spans="1:9" s="17" customFormat="1" ht="16.5" customHeight="1" x14ac:dyDescent="0.2">
      <c r="A326" s="84">
        <v>50408</v>
      </c>
      <c r="B326" s="654" t="s">
        <v>428</v>
      </c>
      <c r="C326" s="655"/>
      <c r="D326" s="6">
        <v>55</v>
      </c>
      <c r="E326" s="6">
        <v>0</v>
      </c>
      <c r="F326" s="6">
        <v>0</v>
      </c>
      <c r="G326" s="91">
        <f>F326/D326</f>
        <v>0</v>
      </c>
      <c r="H326" s="92" t="e">
        <f>F326/E326</f>
        <v>#DIV/0!</v>
      </c>
      <c r="I326" s="81">
        <f>F326/F328</f>
        <v>0</v>
      </c>
    </row>
    <row r="327" spans="1:9" s="17" customFormat="1" ht="16.5" customHeight="1" x14ac:dyDescent="0.2">
      <c r="A327" s="86">
        <v>50409</v>
      </c>
      <c r="B327" s="654" t="s">
        <v>361</v>
      </c>
      <c r="C327" s="655"/>
      <c r="D327" s="6">
        <v>3895.5</v>
      </c>
      <c r="E327" s="6">
        <v>0</v>
      </c>
      <c r="F327" s="6">
        <v>1389</v>
      </c>
      <c r="G327" s="91">
        <f t="shared" si="10"/>
        <v>0.35656526761648055</v>
      </c>
      <c r="H327" s="92" t="e">
        <f t="shared" si="11"/>
        <v>#DIV/0!</v>
      </c>
      <c r="I327" s="81">
        <f>F327/F328</f>
        <v>1</v>
      </c>
    </row>
    <row r="328" spans="1:9" s="17" customFormat="1" ht="16.5" customHeight="1" x14ac:dyDescent="0.2">
      <c r="A328" s="86"/>
      <c r="B328" s="678" t="s">
        <v>96</v>
      </c>
      <c r="C328" s="679"/>
      <c r="D328" s="107">
        <f>D325+D326+D327</f>
        <v>3950.5</v>
      </c>
      <c r="E328" s="107">
        <f>E325+E327</f>
        <v>500</v>
      </c>
      <c r="F328" s="107">
        <f>F325+F326+F327</f>
        <v>1389</v>
      </c>
      <c r="G328" s="33">
        <f t="shared" si="10"/>
        <v>0.35160106315656248</v>
      </c>
      <c r="H328" s="34">
        <f t="shared" si="11"/>
        <v>2.778</v>
      </c>
      <c r="I328" s="35">
        <f>F328/F324</f>
        <v>1</v>
      </c>
    </row>
    <row r="329" spans="1:9" s="17" customFormat="1" ht="16.5" customHeight="1" x14ac:dyDescent="0.2">
      <c r="A329" s="86"/>
      <c r="B329" s="694" t="s">
        <v>452</v>
      </c>
      <c r="C329" s="695"/>
      <c r="D329" s="107">
        <f>D330+D331</f>
        <v>12376.55</v>
      </c>
      <c r="E329" s="107">
        <f>E331</f>
        <v>0</v>
      </c>
      <c r="F329" s="107">
        <f>F330+F331</f>
        <v>0</v>
      </c>
      <c r="G329" s="33">
        <f t="shared" si="10"/>
        <v>0</v>
      </c>
      <c r="H329" s="34" t="e">
        <f t="shared" si="11"/>
        <v>#DIV/0!</v>
      </c>
      <c r="I329" s="35">
        <f>F329/F324</f>
        <v>0</v>
      </c>
    </row>
    <row r="330" spans="1:9" s="17" customFormat="1" ht="16.5" customHeight="1" x14ac:dyDescent="0.2">
      <c r="A330" s="86"/>
      <c r="B330" s="696" t="s">
        <v>467</v>
      </c>
      <c r="C330" s="697"/>
      <c r="D330" s="107">
        <v>7859.55</v>
      </c>
      <c r="E330" s="107"/>
      <c r="F330" s="107">
        <v>0</v>
      </c>
      <c r="G330" s="33">
        <f t="shared" si="10"/>
        <v>0</v>
      </c>
      <c r="H330" s="34" t="e">
        <f t="shared" si="11"/>
        <v>#DIV/0!</v>
      </c>
      <c r="I330" s="35" t="e">
        <f>F330/F329</f>
        <v>#DIV/0!</v>
      </c>
    </row>
    <row r="331" spans="1:9" s="17" customFormat="1" ht="16.5" customHeight="1" x14ac:dyDescent="0.2">
      <c r="A331" s="86"/>
      <c r="B331" s="696" t="s">
        <v>453</v>
      </c>
      <c r="C331" s="697"/>
      <c r="D331" s="107">
        <v>4517</v>
      </c>
      <c r="E331" s="107">
        <v>0</v>
      </c>
      <c r="F331" s="107">
        <v>0</v>
      </c>
      <c r="G331" s="91">
        <f t="shared" si="10"/>
        <v>0</v>
      </c>
      <c r="H331" s="92" t="e">
        <f t="shared" si="11"/>
        <v>#DIV/0!</v>
      </c>
      <c r="I331" s="35" t="e">
        <f>F331/F329</f>
        <v>#DIV/0!</v>
      </c>
    </row>
    <row r="332" spans="1:9" s="17" customFormat="1" ht="17.25" customHeight="1" x14ac:dyDescent="0.2">
      <c r="A332" s="98"/>
      <c r="B332" s="638" t="s">
        <v>78</v>
      </c>
      <c r="C332" s="639"/>
      <c r="D332" s="113">
        <f>D333+D334</f>
        <v>157839.54999999999</v>
      </c>
      <c r="E332" s="113">
        <f>E333+E334</f>
        <v>100001</v>
      </c>
      <c r="F332" s="479">
        <f>F333+F334</f>
        <v>230637.33000000002</v>
      </c>
      <c r="G332" s="52">
        <f t="shared" si="9"/>
        <v>1.4612138085796622</v>
      </c>
      <c r="H332" s="52">
        <f>F332/E332</f>
        <v>2.3063502364976354</v>
      </c>
      <c r="I332" s="52">
        <f>F332/F357</f>
        <v>3.0669454278933875E-2</v>
      </c>
    </row>
    <row r="333" spans="1:9" s="17" customFormat="1" ht="16.5" customHeight="1" x14ac:dyDescent="0.2">
      <c r="A333" s="26"/>
      <c r="B333" s="694" t="s">
        <v>96</v>
      </c>
      <c r="C333" s="695"/>
      <c r="D333" s="117">
        <f>D336+D345+D349</f>
        <v>145820</v>
      </c>
      <c r="E333" s="117">
        <f>E335+E344+E348</f>
        <v>100001</v>
      </c>
      <c r="F333" s="117">
        <f>F336++F345+F349</f>
        <v>193431.2</v>
      </c>
      <c r="G333" s="33">
        <f t="shared" si="9"/>
        <v>1.3265066520367577</v>
      </c>
      <c r="H333" s="118">
        <f>E333/E332</f>
        <v>1</v>
      </c>
      <c r="I333" s="118">
        <f>F333/F332</f>
        <v>0.83868123169826847</v>
      </c>
    </row>
    <row r="334" spans="1:9" s="17" customFormat="1" ht="16.5" customHeight="1" x14ac:dyDescent="0.2">
      <c r="A334" s="114"/>
      <c r="B334" s="694" t="s">
        <v>142</v>
      </c>
      <c r="C334" s="695"/>
      <c r="D334" s="119">
        <f>D337+D346+D350</f>
        <v>12019.55</v>
      </c>
      <c r="E334" s="119">
        <f>E337+E346</f>
        <v>0</v>
      </c>
      <c r="F334" s="119">
        <f>F337+F346+F350</f>
        <v>37206.130000000005</v>
      </c>
      <c r="G334" s="33">
        <f t="shared" si="9"/>
        <v>3.0954678003752227</v>
      </c>
      <c r="H334" s="35">
        <f>E334/E332</f>
        <v>0</v>
      </c>
      <c r="I334" s="116">
        <f>F334/F332</f>
        <v>0.16131876830173156</v>
      </c>
    </row>
    <row r="335" spans="1:9" s="17" customFormat="1" ht="16.5" customHeight="1" x14ac:dyDescent="0.2">
      <c r="A335" s="100">
        <v>92570</v>
      </c>
      <c r="B335" s="684" t="s">
        <v>143</v>
      </c>
      <c r="C335" s="685"/>
      <c r="D335" s="120">
        <f>D336+D337</f>
        <v>87139</v>
      </c>
      <c r="E335" s="120">
        <f>E336+E337</f>
        <v>50000</v>
      </c>
      <c r="F335" s="120">
        <f>F336+F337</f>
        <v>144381</v>
      </c>
      <c r="G335" s="102">
        <f t="shared" si="9"/>
        <v>1.6569044859362627</v>
      </c>
      <c r="H335" s="102">
        <f>E335/E332</f>
        <v>0.49999500004999953</v>
      </c>
      <c r="I335" s="102">
        <f>F335/F332</f>
        <v>0.62600880785430524</v>
      </c>
    </row>
    <row r="336" spans="1:9" s="17" customFormat="1" ht="16.5" customHeight="1" x14ac:dyDescent="0.2">
      <c r="A336" s="114">
        <v>50409</v>
      </c>
      <c r="B336" s="694" t="s">
        <v>144</v>
      </c>
      <c r="C336" s="695"/>
      <c r="D336" s="115">
        <v>87139</v>
      </c>
      <c r="E336" s="121">
        <v>50000</v>
      </c>
      <c r="F336" s="115">
        <v>144381</v>
      </c>
      <c r="G336" s="33">
        <f t="shared" si="9"/>
        <v>1.6569044859362627</v>
      </c>
      <c r="H336" s="116">
        <f>F336/E336</f>
        <v>2.8876200000000001</v>
      </c>
      <c r="I336" s="116">
        <f>F336/F335</f>
        <v>1</v>
      </c>
    </row>
    <row r="337" spans="1:13" s="17" customFormat="1" ht="16.5" customHeight="1" x14ac:dyDescent="0.2">
      <c r="A337" s="26"/>
      <c r="B337" s="694" t="s">
        <v>142</v>
      </c>
      <c r="C337" s="695"/>
      <c r="D337" s="123">
        <f>D338</f>
        <v>0</v>
      </c>
      <c r="E337" s="123">
        <v>0</v>
      </c>
      <c r="F337" s="123">
        <f>F338</f>
        <v>0</v>
      </c>
      <c r="G337" s="124" t="e">
        <f t="shared" si="9"/>
        <v>#DIV/0!</v>
      </c>
      <c r="H337" s="118">
        <f>E337/E335</f>
        <v>0</v>
      </c>
      <c r="I337" s="118">
        <f>F337/F335</f>
        <v>0</v>
      </c>
    </row>
    <row r="338" spans="1:13" s="17" customFormat="1" ht="16.5" customHeight="1" x14ac:dyDescent="0.2">
      <c r="A338" s="114"/>
      <c r="B338" s="708" t="s">
        <v>481</v>
      </c>
      <c r="C338" s="709"/>
      <c r="D338" s="125">
        <v>0</v>
      </c>
      <c r="E338" s="125">
        <v>0</v>
      </c>
      <c r="F338" s="125">
        <v>0</v>
      </c>
      <c r="G338" s="91" t="e">
        <f t="shared" si="9"/>
        <v>#DIV/0!</v>
      </c>
      <c r="H338" s="122" t="e">
        <f>E338/E337</f>
        <v>#DIV/0!</v>
      </c>
      <c r="I338" s="116" t="e">
        <f>F338/F337</f>
        <v>#DIV/0!</v>
      </c>
    </row>
    <row r="339" spans="1:13" s="17" customFormat="1" ht="16.5" customHeight="1" x14ac:dyDescent="0.2">
      <c r="A339" s="144"/>
      <c r="B339" s="145"/>
      <c r="C339" s="145"/>
      <c r="D339" s="65"/>
      <c r="E339" s="65"/>
      <c r="F339" s="65"/>
      <c r="G339" s="431"/>
      <c r="H339" s="352"/>
      <c r="I339" s="449"/>
    </row>
    <row r="340" spans="1:13" s="17" customFormat="1" ht="16.5" customHeight="1" x14ac:dyDescent="0.2">
      <c r="A340" s="144"/>
      <c r="B340" s="145"/>
      <c r="C340" s="145"/>
      <c r="D340" s="65"/>
      <c r="E340" s="65"/>
      <c r="F340" s="65"/>
      <c r="G340" s="431"/>
      <c r="H340" s="352"/>
      <c r="I340" s="432"/>
    </row>
    <row r="341" spans="1:13" s="17" customFormat="1" ht="16.5" customHeight="1" x14ac:dyDescent="0.2">
      <c r="I341" s="15"/>
    </row>
    <row r="342" spans="1:13" s="17" customFormat="1" ht="16.5" customHeight="1" x14ac:dyDescent="0.2">
      <c r="I342" s="297"/>
    </row>
    <row r="343" spans="1:13" s="17" customFormat="1" ht="16.5" customHeight="1" x14ac:dyDescent="0.2"/>
    <row r="344" spans="1:13" s="17" customFormat="1" ht="16.5" customHeight="1" x14ac:dyDescent="0.2">
      <c r="A344" s="126">
        <v>93540</v>
      </c>
      <c r="B344" s="127" t="s">
        <v>145</v>
      </c>
      <c r="C344" s="128"/>
      <c r="D344" s="129">
        <f>D345+D346</f>
        <v>9661.5499999999993</v>
      </c>
      <c r="E344" s="129">
        <f>E345+E346</f>
        <v>0</v>
      </c>
      <c r="F344" s="129">
        <f>F345+F346</f>
        <v>12128.130000000001</v>
      </c>
      <c r="G344" s="130">
        <f>F344/D344</f>
        <v>1.2552985804555172</v>
      </c>
      <c r="H344" s="102">
        <f>E344/E332</f>
        <v>0</v>
      </c>
      <c r="I344" s="130">
        <f>F344/F332</f>
        <v>5.258528617201734E-2</v>
      </c>
    </row>
    <row r="345" spans="1:13" s="17" customFormat="1" ht="16.5" customHeight="1" x14ac:dyDescent="0.2">
      <c r="A345" s="26"/>
      <c r="B345" s="131" t="s">
        <v>144</v>
      </c>
      <c r="C345" s="132"/>
      <c r="D345" s="123">
        <v>0</v>
      </c>
      <c r="E345" s="133">
        <v>0</v>
      </c>
      <c r="F345" s="123">
        <v>0</v>
      </c>
      <c r="G345" s="124" t="e">
        <f>F345/D345</f>
        <v>#DIV/0!</v>
      </c>
      <c r="H345" s="118" t="e">
        <f>E345/E344</f>
        <v>#DIV/0!</v>
      </c>
      <c r="I345" s="118">
        <f>F345/F344</f>
        <v>0</v>
      </c>
    </row>
    <row r="346" spans="1:13" s="17" customFormat="1" ht="16.5" customHeight="1" x14ac:dyDescent="0.2">
      <c r="A346" s="114"/>
      <c r="B346" s="131" t="s">
        <v>142</v>
      </c>
      <c r="C346" s="132"/>
      <c r="D346" s="115">
        <f>D347</f>
        <v>9661.5499999999993</v>
      </c>
      <c r="E346" s="115">
        <f>E347</f>
        <v>0</v>
      </c>
      <c r="F346" s="115">
        <f>F347</f>
        <v>12128.130000000001</v>
      </c>
      <c r="G346" s="124">
        <f>F346/D346</f>
        <v>1.2552985804555172</v>
      </c>
      <c r="H346" s="116" t="e">
        <f>E346/E344</f>
        <v>#DIV/0!</v>
      </c>
      <c r="I346" s="116">
        <f>F346/F344</f>
        <v>1</v>
      </c>
    </row>
    <row r="347" spans="1:13" s="17" customFormat="1" ht="16.5" customHeight="1" x14ac:dyDescent="0.2">
      <c r="A347" s="114"/>
      <c r="B347" s="134" t="s">
        <v>508</v>
      </c>
      <c r="C347" s="135"/>
      <c r="D347" s="115">
        <f>6303.32+3358.23</f>
        <v>9661.5499999999993</v>
      </c>
      <c r="E347" s="125">
        <v>0</v>
      </c>
      <c r="F347" s="115">
        <f>6935.16+5192.97</f>
        <v>12128.130000000001</v>
      </c>
      <c r="G347" s="91">
        <f t="shared" si="9"/>
        <v>1.2552985804555172</v>
      </c>
      <c r="H347" s="122" t="e">
        <f>E347/E346</f>
        <v>#DIV/0!</v>
      </c>
      <c r="I347" s="116">
        <f>F347/F346</f>
        <v>1</v>
      </c>
    </row>
    <row r="348" spans="1:13" s="17" customFormat="1" ht="16.5" customHeight="1" x14ac:dyDescent="0.2">
      <c r="A348" s="126">
        <v>94740</v>
      </c>
      <c r="B348" s="127" t="s">
        <v>146</v>
      </c>
      <c r="C348" s="128"/>
      <c r="D348" s="129">
        <f>D349+D350</f>
        <v>61039</v>
      </c>
      <c r="E348" s="129">
        <f>E349</f>
        <v>50001</v>
      </c>
      <c r="F348" s="129">
        <f>F349+F350</f>
        <v>74128.2</v>
      </c>
      <c r="G348" s="130">
        <f>F348/D348</f>
        <v>1.2144399482298203</v>
      </c>
      <c r="H348" s="130">
        <f t="shared" ref="H348:H357" si="12">F348/E348</f>
        <v>1.4825343493130136</v>
      </c>
      <c r="I348" s="130">
        <f>F348/F332</f>
        <v>0.32140590597367735</v>
      </c>
    </row>
    <row r="349" spans="1:13" s="17" customFormat="1" ht="16.5" customHeight="1" x14ac:dyDescent="0.2">
      <c r="A349" s="114">
        <v>50409</v>
      </c>
      <c r="B349" s="694" t="s">
        <v>144</v>
      </c>
      <c r="C349" s="695"/>
      <c r="D349" s="115">
        <f>37481+250+20950</f>
        <v>58681</v>
      </c>
      <c r="E349" s="121">
        <v>50001</v>
      </c>
      <c r="F349" s="115">
        <f>30710.2+50+18290</f>
        <v>49050.2</v>
      </c>
      <c r="G349" s="124">
        <f>F349/D349</f>
        <v>0.83587873417290093</v>
      </c>
      <c r="H349" s="136">
        <f t="shared" si="12"/>
        <v>0.98098438031239366</v>
      </c>
      <c r="I349" s="116">
        <f>F349/F348</f>
        <v>0.66169420004802493</v>
      </c>
    </row>
    <row r="350" spans="1:13" s="17" customFormat="1" ht="16.5" customHeight="1" x14ac:dyDescent="0.2">
      <c r="A350" s="26"/>
      <c r="B350" s="131" t="s">
        <v>509</v>
      </c>
      <c r="C350" s="132"/>
      <c r="D350" s="123">
        <v>2358</v>
      </c>
      <c r="E350" s="460">
        <v>0</v>
      </c>
      <c r="F350" s="123">
        <f>25078</f>
        <v>25078</v>
      </c>
      <c r="G350" s="461"/>
      <c r="H350" s="462"/>
      <c r="I350" s="118"/>
    </row>
    <row r="351" spans="1:13" s="17" customFormat="1" ht="16.5" customHeight="1" x14ac:dyDescent="0.2">
      <c r="A351" s="137"/>
      <c r="B351" s="638" t="s">
        <v>147</v>
      </c>
      <c r="C351" s="639"/>
      <c r="D351" s="138">
        <f>D247+D254+D263+D272+D288+D298+D309+D316+D320+D322+D328+D333</f>
        <v>5324833.1500000004</v>
      </c>
      <c r="E351" s="138">
        <f>E234+E247+E254+E263+E272+E288+E298+E309+E316+E320+E323+E328+E333</f>
        <v>5365017</v>
      </c>
      <c r="F351" s="138">
        <f>F247+F254+F263+F272+F288+F298+F309+F316+F320+F323+F328+F333</f>
        <v>5192418.6900000004</v>
      </c>
      <c r="G351" s="57">
        <f t="shared" si="9"/>
        <v>0.97513265556499173</v>
      </c>
      <c r="H351" s="57">
        <f t="shared" si="12"/>
        <v>0.96782893511800627</v>
      </c>
      <c r="I351" s="57">
        <f>F351/F357</f>
        <v>0.6904721261299579</v>
      </c>
      <c r="M351" s="599"/>
    </row>
    <row r="352" spans="1:13" s="17" customFormat="1" ht="16.5" customHeight="1" x14ac:dyDescent="0.2">
      <c r="A352" s="49"/>
      <c r="B352" s="666" t="s">
        <v>431</v>
      </c>
      <c r="C352" s="667"/>
      <c r="D352" s="99">
        <f>D255</f>
        <v>58954.45</v>
      </c>
      <c r="E352" s="50">
        <v>0</v>
      </c>
      <c r="F352" s="99">
        <f>F255</f>
        <v>76305</v>
      </c>
      <c r="G352" s="57">
        <f>F352/D352</f>
        <v>1.2943043315644536</v>
      </c>
      <c r="H352" s="57" t="e">
        <f t="shared" si="12"/>
        <v>#DIV/0!</v>
      </c>
      <c r="I352" s="57">
        <f>F352/F357</f>
        <v>1.014680801565839E-2</v>
      </c>
    </row>
    <row r="353" spans="1:14" s="17" customFormat="1" ht="16.5" customHeight="1" x14ac:dyDescent="0.2">
      <c r="A353" s="137"/>
      <c r="B353" s="715" t="s">
        <v>432</v>
      </c>
      <c r="C353" s="716"/>
      <c r="D353" s="372">
        <f>D264</f>
        <v>823750</v>
      </c>
      <c r="E353" s="254">
        <v>0</v>
      </c>
      <c r="F353" s="372">
        <f>F264</f>
        <v>1044141.5</v>
      </c>
      <c r="G353" s="57">
        <f>F353/D353</f>
        <v>1.2675465857359636</v>
      </c>
      <c r="H353" s="57" t="e">
        <f t="shared" si="12"/>
        <v>#DIV/0!</v>
      </c>
      <c r="I353" s="57">
        <f>F353/F357</f>
        <v>0.13884677729744543</v>
      </c>
    </row>
    <row r="354" spans="1:14" s="17" customFormat="1" ht="16.5" customHeight="1" x14ac:dyDescent="0.2">
      <c r="A354" s="137"/>
      <c r="B354" s="638" t="s">
        <v>433</v>
      </c>
      <c r="C354" s="639"/>
      <c r="D354" s="138">
        <f>D355+D356</f>
        <v>398739.97</v>
      </c>
      <c r="E354" s="138">
        <f>E355+E356</f>
        <v>0</v>
      </c>
      <c r="F354" s="138">
        <f>F355+F356</f>
        <v>1207233.73</v>
      </c>
      <c r="G354" s="57">
        <f t="shared" si="9"/>
        <v>3.0276215599855716</v>
      </c>
      <c r="H354" s="57" t="e">
        <f t="shared" si="12"/>
        <v>#DIV/0!</v>
      </c>
      <c r="I354" s="57">
        <f>F354/F357</f>
        <v>0.1605342885569383</v>
      </c>
      <c r="K354" s="599"/>
    </row>
    <row r="355" spans="1:14" s="17" customFormat="1" ht="16.5" customHeight="1" x14ac:dyDescent="0.2">
      <c r="A355" s="26"/>
      <c r="B355" s="694" t="s">
        <v>148</v>
      </c>
      <c r="C355" s="695"/>
      <c r="D355" s="123">
        <f>D265+D329+D334+D299</f>
        <v>325527.76999999996</v>
      </c>
      <c r="E355" s="123">
        <f>E265+E329+E334</f>
        <v>0</v>
      </c>
      <c r="F355" s="123">
        <f>F265+F329+F334+F299</f>
        <v>1166824.92</v>
      </c>
      <c r="G355" s="124">
        <f t="shared" si="9"/>
        <v>3.5844097724750181</v>
      </c>
      <c r="H355" s="136" t="e">
        <f t="shared" si="12"/>
        <v>#DIV/0!</v>
      </c>
      <c r="I355" s="118">
        <f>F355/F354</f>
        <v>0.96652776591986034</v>
      </c>
    </row>
    <row r="356" spans="1:14" s="17" customFormat="1" ht="16.5" customHeight="1" x14ac:dyDescent="0.2">
      <c r="A356" s="26"/>
      <c r="B356" s="694" t="s">
        <v>149</v>
      </c>
      <c r="C356" s="695"/>
      <c r="D356" s="123">
        <f>D290</f>
        <v>73212.2</v>
      </c>
      <c r="E356" s="123">
        <f>E290</f>
        <v>0</v>
      </c>
      <c r="F356" s="123">
        <f>F290</f>
        <v>40408.81</v>
      </c>
      <c r="G356" s="124">
        <f t="shared" si="9"/>
        <v>0.55194093334171079</v>
      </c>
      <c r="H356" s="136" t="e">
        <f t="shared" si="12"/>
        <v>#DIV/0!</v>
      </c>
      <c r="I356" s="118">
        <f>F356/F354</f>
        <v>3.3472234080139558E-2</v>
      </c>
    </row>
    <row r="357" spans="1:14" s="17" customFormat="1" ht="16.5" customHeight="1" x14ac:dyDescent="0.2">
      <c r="A357" s="139"/>
      <c r="B357" s="715" t="s">
        <v>1020</v>
      </c>
      <c r="C357" s="716"/>
      <c r="D357" s="106">
        <f>D351+D352+D353+D354</f>
        <v>6606277.5700000003</v>
      </c>
      <c r="E357" s="106">
        <f>E351+E352+E353+E354</f>
        <v>5365017</v>
      </c>
      <c r="F357" s="106">
        <f>F351+F352+F353+F354</f>
        <v>7520098.9199999999</v>
      </c>
      <c r="G357" s="140">
        <f t="shared" si="9"/>
        <v>1.1383262117458985</v>
      </c>
      <c r="H357" s="140">
        <f t="shared" si="12"/>
        <v>1.4016915361125604</v>
      </c>
      <c r="I357" s="140">
        <f>I351+I352+I353+I354</f>
        <v>1</v>
      </c>
      <c r="K357" s="453"/>
      <c r="L357" s="453"/>
    </row>
    <row r="358" spans="1:14" s="17" customFormat="1" ht="16.5" customHeight="1" x14ac:dyDescent="0.2">
      <c r="A358" s="15"/>
      <c r="B358" s="15"/>
      <c r="C358" s="15"/>
      <c r="D358" s="141"/>
      <c r="E358" s="15"/>
      <c r="F358" s="15"/>
      <c r="G358" s="15"/>
      <c r="H358" s="15"/>
      <c r="L358" s="495"/>
      <c r="M358" s="495"/>
      <c r="N358" s="495"/>
    </row>
    <row r="359" spans="1:14" s="17" customFormat="1" ht="16.5" customHeight="1" x14ac:dyDescent="0.2">
      <c r="A359" s="20" t="s">
        <v>708</v>
      </c>
      <c r="B359" s="20"/>
      <c r="C359" s="20"/>
      <c r="D359" s="20"/>
      <c r="E359" s="20"/>
      <c r="F359" s="20"/>
      <c r="G359" s="20"/>
      <c r="H359" s="20"/>
      <c r="I359" s="20"/>
      <c r="L359" s="495"/>
      <c r="M359" s="495"/>
      <c r="N359" s="495"/>
    </row>
    <row r="360" spans="1:14" s="17" customFormat="1" ht="16.5" customHeight="1" x14ac:dyDescent="0.2">
      <c r="A360" s="603" t="s">
        <v>1101</v>
      </c>
      <c r="B360" s="603"/>
      <c r="C360" s="603"/>
      <c r="D360" s="603"/>
      <c r="E360" s="603"/>
      <c r="F360" s="603"/>
      <c r="G360" s="603"/>
      <c r="H360" s="603"/>
      <c r="I360" s="603"/>
      <c r="L360" s="495"/>
      <c r="M360" s="495"/>
      <c r="N360" s="495"/>
    </row>
    <row r="361" spans="1:14" s="17" customFormat="1" ht="16.5" customHeight="1" x14ac:dyDescent="0.2">
      <c r="A361" s="603" t="s">
        <v>1102</v>
      </c>
      <c r="B361" s="603"/>
      <c r="C361" s="603"/>
      <c r="D361" s="603"/>
      <c r="E361" s="603"/>
      <c r="F361" s="603"/>
      <c r="G361" s="603"/>
      <c r="H361" s="603"/>
      <c r="I361" s="603"/>
      <c r="L361" s="495"/>
      <c r="M361" s="495"/>
      <c r="N361" s="495"/>
    </row>
    <row r="362" spans="1:14" s="17" customFormat="1" ht="16.5" customHeight="1" x14ac:dyDescent="0.2">
      <c r="A362" s="20" t="s">
        <v>1021</v>
      </c>
      <c r="B362" s="20"/>
      <c r="C362" s="20"/>
      <c r="D362" s="20"/>
      <c r="E362" s="20"/>
      <c r="F362" s="20"/>
      <c r="G362" s="20"/>
      <c r="H362" s="20"/>
      <c r="I362" s="20"/>
      <c r="K362" s="599"/>
      <c r="L362" s="495"/>
      <c r="M362" s="495"/>
      <c r="N362" s="495"/>
    </row>
    <row r="363" spans="1:14" s="17" customFormat="1" ht="16.5" customHeight="1" x14ac:dyDescent="0.2">
      <c r="A363" s="707" t="s">
        <v>1022</v>
      </c>
      <c r="B363" s="707"/>
      <c r="C363" s="707"/>
      <c r="D363" s="707"/>
      <c r="E363" s="707"/>
      <c r="F363" s="707"/>
      <c r="G363" s="707"/>
      <c r="H363" s="707"/>
      <c r="I363" s="707"/>
      <c r="L363" s="495"/>
      <c r="M363" s="495"/>
      <c r="N363" s="495"/>
    </row>
    <row r="364" spans="1:14" s="17" customFormat="1" ht="16.5" customHeight="1" x14ac:dyDescent="0.2">
      <c r="A364" s="21"/>
      <c r="B364" s="706" t="s">
        <v>709</v>
      </c>
      <c r="C364" s="706"/>
      <c r="D364" s="706"/>
      <c r="E364" s="706"/>
      <c r="F364" s="706"/>
      <c r="G364" s="706"/>
      <c r="H364" s="706"/>
      <c r="I364" s="706"/>
      <c r="L364" s="495"/>
      <c r="M364" s="495"/>
      <c r="N364" s="495"/>
    </row>
    <row r="365" spans="1:14" s="17" customFormat="1" ht="16.5" customHeight="1" x14ac:dyDescent="0.2">
      <c r="A365" s="710" t="s">
        <v>710</v>
      </c>
      <c r="B365" s="710"/>
      <c r="C365" s="710"/>
      <c r="D365" s="710"/>
      <c r="E365" s="710"/>
      <c r="F365" s="710"/>
      <c r="G365" s="710"/>
      <c r="H365" s="710"/>
      <c r="I365" s="710"/>
      <c r="L365" s="495"/>
      <c r="M365" s="495"/>
      <c r="N365" s="495"/>
    </row>
    <row r="366" spans="1:14" s="17" customFormat="1" ht="16.5" customHeight="1" x14ac:dyDescent="0.2">
      <c r="A366" s="20" t="s">
        <v>711</v>
      </c>
      <c r="B366" s="142"/>
      <c r="C366" s="142"/>
      <c r="D366" s="142"/>
      <c r="E366" s="142"/>
      <c r="F366" s="142"/>
      <c r="G366" s="142"/>
      <c r="H366" s="142"/>
      <c r="I366" s="142"/>
      <c r="L366" s="495"/>
      <c r="M366" s="495"/>
      <c r="N366" s="495"/>
    </row>
    <row r="367" spans="1:14" s="17" customFormat="1" ht="16.5" customHeight="1" x14ac:dyDescent="0.2">
      <c r="A367" s="20" t="s">
        <v>712</v>
      </c>
      <c r="B367" s="142"/>
      <c r="C367" s="142"/>
      <c r="D367" s="142"/>
      <c r="E367" s="142"/>
      <c r="F367" s="142"/>
      <c r="G367" s="142"/>
      <c r="H367" s="142"/>
      <c r="I367" s="142"/>
      <c r="L367" s="495"/>
      <c r="M367" s="495"/>
      <c r="N367" s="495"/>
    </row>
    <row r="368" spans="1:14" s="17" customFormat="1" ht="16.5" customHeight="1" x14ac:dyDescent="0.2">
      <c r="A368" s="20"/>
      <c r="B368" s="706" t="s">
        <v>713</v>
      </c>
      <c r="C368" s="706"/>
      <c r="D368" s="706"/>
      <c r="E368" s="706"/>
      <c r="F368" s="706"/>
      <c r="G368" s="706"/>
      <c r="H368" s="706"/>
      <c r="I368" s="706"/>
      <c r="L368" s="495"/>
      <c r="M368" s="495"/>
      <c r="N368" s="495"/>
    </row>
    <row r="369" spans="1:15" s="17" customFormat="1" ht="16.5" customHeight="1" x14ac:dyDescent="0.2">
      <c r="A369" s="20" t="s">
        <v>714</v>
      </c>
      <c r="B369" s="142"/>
      <c r="C369" s="142"/>
      <c r="D369" s="142"/>
      <c r="E369" s="142"/>
      <c r="F369" s="142"/>
      <c r="G369" s="142"/>
      <c r="H369" s="142"/>
      <c r="I369" s="142"/>
      <c r="L369" s="495"/>
      <c r="M369" s="495"/>
      <c r="N369" s="495"/>
    </row>
    <row r="370" spans="1:15" s="17" customFormat="1" ht="16.5" customHeight="1" x14ac:dyDescent="0.2">
      <c r="A370" s="20"/>
      <c r="B370" s="20" t="s">
        <v>1103</v>
      </c>
      <c r="C370" s="20"/>
      <c r="D370" s="20"/>
      <c r="E370" s="20"/>
      <c r="F370" s="20"/>
      <c r="G370" s="20"/>
      <c r="H370" s="20"/>
      <c r="I370" s="20"/>
      <c r="L370" s="495"/>
      <c r="M370" s="495"/>
      <c r="N370" s="495"/>
    </row>
    <row r="371" spans="1:15" s="17" customFormat="1" ht="16.5" customHeight="1" x14ac:dyDescent="0.2">
      <c r="A371" s="156" t="s">
        <v>1104</v>
      </c>
      <c r="B371" s="156"/>
      <c r="C371" s="156"/>
      <c r="D371" s="156"/>
      <c r="E371" s="156"/>
      <c r="F371" s="156"/>
      <c r="G371" s="156"/>
      <c r="H371" s="156"/>
      <c r="I371" s="156"/>
      <c r="L371" s="495"/>
      <c r="M371" s="495"/>
      <c r="N371" s="495"/>
    </row>
    <row r="372" spans="1:15" s="17" customFormat="1" ht="16.5" customHeight="1" x14ac:dyDescent="0.2">
      <c r="A372" s="21"/>
      <c r="B372" s="707" t="s">
        <v>458</v>
      </c>
      <c r="C372" s="707"/>
      <c r="D372" s="707"/>
      <c r="E372" s="707"/>
      <c r="F372" s="707"/>
      <c r="G372" s="707"/>
      <c r="H372" s="707"/>
      <c r="I372" s="707"/>
      <c r="L372" s="495"/>
      <c r="M372" s="495"/>
      <c r="N372" s="495"/>
    </row>
    <row r="373" spans="1:15" s="17" customFormat="1" ht="16.5" customHeight="1" x14ac:dyDescent="0.2">
      <c r="A373" s="603" t="s">
        <v>715</v>
      </c>
      <c r="B373" s="603"/>
      <c r="C373" s="603"/>
      <c r="D373" s="603"/>
      <c r="E373" s="603"/>
      <c r="F373" s="603"/>
      <c r="G373" s="603"/>
      <c r="H373" s="603"/>
      <c r="I373" s="603"/>
      <c r="L373" s="495"/>
      <c r="M373" s="495"/>
      <c r="N373" s="495"/>
    </row>
    <row r="374" spans="1:15" s="17" customFormat="1" ht="16.5" customHeight="1" x14ac:dyDescent="0.2">
      <c r="A374" s="21" t="s">
        <v>459</v>
      </c>
      <c r="B374" s="21"/>
      <c r="C374" s="21"/>
      <c r="D374" s="21"/>
      <c r="E374" s="21"/>
      <c r="F374" s="21"/>
      <c r="G374" s="21"/>
      <c r="H374" s="21"/>
      <c r="I374" s="21"/>
      <c r="L374" s="495"/>
      <c r="M374" s="495"/>
      <c r="N374" s="495"/>
    </row>
    <row r="375" spans="1:15" s="17" customFormat="1" ht="16.5" customHeight="1" x14ac:dyDescent="0.2">
      <c r="A375" s="603" t="s">
        <v>1100</v>
      </c>
      <c r="B375" s="603"/>
      <c r="C375" s="603"/>
      <c r="D375" s="603"/>
      <c r="E375" s="603"/>
      <c r="F375" s="603"/>
      <c r="G375" s="603"/>
      <c r="H375" s="603"/>
      <c r="I375" s="603"/>
      <c r="L375" s="495"/>
      <c r="M375" s="495"/>
      <c r="N375" s="495"/>
    </row>
    <row r="376" spans="1:15" s="17" customFormat="1" ht="16.5" customHeight="1" x14ac:dyDescent="0.2">
      <c r="A376" s="603" t="s">
        <v>716</v>
      </c>
      <c r="B376" s="603"/>
      <c r="C376" s="603"/>
      <c r="D376" s="603"/>
      <c r="E376" s="603"/>
      <c r="F376" s="603"/>
      <c r="G376" s="603"/>
      <c r="H376" s="603"/>
      <c r="I376" s="603"/>
      <c r="L376" s="495"/>
      <c r="M376" s="495"/>
      <c r="N376" s="495"/>
    </row>
    <row r="377" spans="1:15" s="17" customFormat="1" ht="16.5" customHeight="1" x14ac:dyDescent="0.2">
      <c r="A377" s="621" t="s">
        <v>190</v>
      </c>
      <c r="B377" s="621"/>
      <c r="C377" s="621"/>
      <c r="D377" s="621"/>
      <c r="E377" s="621"/>
      <c r="F377" s="621"/>
      <c r="G377" s="621"/>
      <c r="H377" s="621"/>
      <c r="I377" s="621"/>
      <c r="M377" s="495"/>
      <c r="N377" s="495"/>
      <c r="O377" s="495"/>
    </row>
    <row r="378" spans="1:15" s="17" customFormat="1" ht="16.5" customHeight="1" x14ac:dyDescent="0.2">
      <c r="A378" s="706"/>
      <c r="B378" s="706"/>
      <c r="C378" s="706"/>
      <c r="D378" s="706"/>
      <c r="E378" s="706"/>
      <c r="F378" s="706"/>
      <c r="G378" s="706"/>
      <c r="H378" s="706"/>
      <c r="I378" s="706"/>
      <c r="M378" s="495"/>
      <c r="N378" s="495"/>
      <c r="O378" s="495"/>
    </row>
    <row r="379" spans="1:15" s="17" customFormat="1" ht="16.5" customHeight="1" x14ac:dyDescent="0.2">
      <c r="A379" s="15"/>
      <c r="B379" s="142"/>
      <c r="C379" s="142"/>
      <c r="D379" s="142"/>
      <c r="E379" s="142"/>
      <c r="F379" s="142"/>
      <c r="G379" s="142"/>
      <c r="H379" s="142"/>
      <c r="I379" s="41"/>
      <c r="M379" s="495"/>
      <c r="N379" s="495"/>
      <c r="O379" s="495"/>
    </row>
    <row r="380" spans="1:15" s="17" customFormat="1" ht="16.5" customHeight="1" x14ac:dyDescent="0.2">
      <c r="A380" s="15"/>
      <c r="B380" s="142"/>
      <c r="C380" s="142"/>
      <c r="D380" s="142"/>
      <c r="E380" s="142"/>
      <c r="F380" s="142"/>
      <c r="G380" s="142"/>
      <c r="H380" s="142"/>
      <c r="I380" s="41"/>
      <c r="M380" s="495"/>
      <c r="N380" s="495"/>
      <c r="O380" s="495"/>
    </row>
    <row r="381" spans="1:15" s="17" customFormat="1" ht="16.5" customHeight="1" x14ac:dyDescent="0.2">
      <c r="A381" s="15"/>
      <c r="B381" s="142"/>
      <c r="C381" s="142"/>
      <c r="D381" s="142"/>
      <c r="E381" s="142"/>
      <c r="F381" s="142"/>
      <c r="G381" s="142"/>
      <c r="H381" s="142"/>
      <c r="I381" s="41"/>
      <c r="M381" s="495"/>
      <c r="N381" s="495"/>
      <c r="O381" s="495"/>
    </row>
    <row r="382" spans="1:15" s="17" customFormat="1" ht="16.5" customHeight="1" x14ac:dyDescent="0.2">
      <c r="A382" s="15"/>
      <c r="B382" s="142"/>
      <c r="C382" s="142"/>
      <c r="D382" s="142"/>
      <c r="E382" s="142"/>
      <c r="F382" s="142"/>
      <c r="G382" s="142"/>
      <c r="H382" s="142"/>
      <c r="I382" s="41"/>
      <c r="M382" s="495"/>
      <c r="N382" s="495"/>
      <c r="O382" s="495"/>
    </row>
    <row r="383" spans="1:15" s="17" customFormat="1" ht="16.5" customHeight="1" x14ac:dyDescent="0.2">
      <c r="A383" s="15"/>
      <c r="B383" s="142"/>
      <c r="C383" s="142"/>
      <c r="D383" s="142"/>
      <c r="E383" s="142"/>
      <c r="F383" s="142"/>
      <c r="G383" s="142"/>
      <c r="H383" s="142"/>
      <c r="I383" s="41"/>
      <c r="K383" s="495"/>
    </row>
    <row r="384" spans="1:15" s="17" customFormat="1" ht="16.5" customHeight="1" x14ac:dyDescent="0.2">
      <c r="A384" s="15"/>
      <c r="B384" s="142"/>
      <c r="C384" s="142"/>
      <c r="D384" s="142"/>
      <c r="E384" s="142"/>
      <c r="F384" s="142"/>
      <c r="G384" s="142"/>
      <c r="H384" s="142"/>
      <c r="I384" s="41"/>
      <c r="K384" s="495"/>
    </row>
    <row r="385" spans="1:11" s="17" customFormat="1" ht="16.5" customHeight="1" x14ac:dyDescent="0.2">
      <c r="A385" s="15"/>
      <c r="B385" s="142"/>
      <c r="C385" s="142"/>
      <c r="D385" s="142"/>
      <c r="E385" s="142"/>
      <c r="F385" s="142"/>
      <c r="G385" s="142"/>
      <c r="H385" s="142"/>
      <c r="I385" s="41"/>
      <c r="K385" s="495"/>
    </row>
    <row r="386" spans="1:11" s="17" customFormat="1" ht="16.5" customHeight="1" x14ac:dyDescent="0.2">
      <c r="A386" s="15"/>
      <c r="B386" s="142"/>
      <c r="C386" s="142"/>
      <c r="D386" s="142"/>
      <c r="E386" s="142"/>
      <c r="F386" s="142"/>
      <c r="G386" s="142"/>
      <c r="H386" s="142"/>
      <c r="I386" s="41"/>
      <c r="K386" s="495"/>
    </row>
    <row r="387" spans="1:11" s="17" customFormat="1" ht="16.5" customHeight="1" x14ac:dyDescent="0.2">
      <c r="A387" s="15"/>
      <c r="B387" s="142"/>
      <c r="C387" s="142"/>
      <c r="D387" s="142"/>
      <c r="E387" s="142"/>
      <c r="F387" s="142"/>
      <c r="G387" s="142"/>
      <c r="H387" s="142"/>
      <c r="I387" s="440">
        <v>6</v>
      </c>
      <c r="K387" s="495"/>
    </row>
    <row r="388" spans="1:11" s="17" customFormat="1" ht="16.5" customHeight="1" x14ac:dyDescent="0.2">
      <c r="A388" s="15"/>
      <c r="B388" s="142"/>
      <c r="C388" s="142"/>
      <c r="D388" s="142"/>
      <c r="E388" s="142"/>
      <c r="F388" s="142"/>
      <c r="G388" s="142"/>
      <c r="H388" s="142"/>
      <c r="I388" s="41"/>
    </row>
    <row r="389" spans="1:11" s="17" customFormat="1" ht="16.5" customHeight="1" x14ac:dyDescent="0.2">
      <c r="A389" s="705" t="s">
        <v>580</v>
      </c>
      <c r="B389" s="705"/>
      <c r="C389" s="705"/>
      <c r="D389" s="705"/>
      <c r="E389" s="705"/>
      <c r="F389" s="705"/>
      <c r="G389" s="705"/>
      <c r="H389" s="705"/>
      <c r="I389" s="705"/>
    </row>
    <row r="390" spans="1:11" s="17" customFormat="1" ht="16.5" customHeight="1" x14ac:dyDescent="0.2">
      <c r="A390" s="143"/>
      <c r="B390" s="143"/>
      <c r="C390" s="143"/>
      <c r="D390" s="143"/>
      <c r="E390" s="143"/>
      <c r="F390" s="143"/>
      <c r="G390" s="143"/>
      <c r="H390" s="143"/>
      <c r="I390" s="144"/>
    </row>
    <row r="391" spans="1:11" s="17" customFormat="1" ht="16.5" customHeight="1" x14ac:dyDescent="0.2">
      <c r="A391" s="621" t="s">
        <v>581</v>
      </c>
      <c r="B391" s="621"/>
      <c r="C391" s="621"/>
      <c r="D391" s="621"/>
      <c r="E391" s="621"/>
      <c r="F391" s="621"/>
      <c r="G391" s="621"/>
      <c r="H391" s="621"/>
      <c r="I391" s="621"/>
    </row>
    <row r="392" spans="1:11" s="17" customFormat="1" ht="16.5" customHeight="1" x14ac:dyDescent="0.2">
      <c r="A392" s="621"/>
      <c r="B392" s="621"/>
      <c r="C392" s="621"/>
      <c r="D392" s="621"/>
      <c r="E392" s="621"/>
      <c r="F392" s="621"/>
      <c r="G392" s="621"/>
      <c r="H392" s="621"/>
      <c r="I392" s="621"/>
    </row>
    <row r="393" spans="1:11" s="17" customFormat="1" ht="16.5" customHeight="1" x14ac:dyDescent="0.2">
      <c r="A393" s="145"/>
      <c r="B393" s="145"/>
      <c r="C393" s="15"/>
      <c r="D393" s="605" t="s">
        <v>84</v>
      </c>
      <c r="E393" s="605"/>
      <c r="F393" s="605"/>
      <c r="G393" s="145"/>
      <c r="H393" s="145"/>
      <c r="I393" s="145"/>
    </row>
    <row r="394" spans="1:11" s="17" customFormat="1" ht="16.5" customHeight="1" x14ac:dyDescent="0.2">
      <c r="A394" s="145"/>
      <c r="B394" s="145"/>
      <c r="C394" s="15"/>
      <c r="D394" s="144"/>
      <c r="E394" s="144"/>
      <c r="F394" s="144"/>
      <c r="G394" s="145"/>
      <c r="H394" s="145"/>
      <c r="I394" s="145"/>
    </row>
    <row r="395" spans="1:11" s="17" customFormat="1" ht="16.5" customHeight="1" x14ac:dyDescent="0.2">
      <c r="A395" s="613" t="s">
        <v>150</v>
      </c>
      <c r="B395" s="615" t="s">
        <v>151</v>
      </c>
      <c r="C395" s="616"/>
      <c r="D395" s="409" t="s">
        <v>383</v>
      </c>
      <c r="E395" s="409" t="s">
        <v>152</v>
      </c>
      <c r="F395" s="699" t="s">
        <v>153</v>
      </c>
      <c r="G395" s="701" t="s">
        <v>154</v>
      </c>
      <c r="H395" s="652" t="s">
        <v>154</v>
      </c>
      <c r="I395" s="653"/>
    </row>
    <row r="396" spans="1:11" s="17" customFormat="1" ht="16.5" customHeight="1" x14ac:dyDescent="0.2">
      <c r="A396" s="614"/>
      <c r="B396" s="617"/>
      <c r="C396" s="618"/>
      <c r="D396" s="28" t="s">
        <v>571</v>
      </c>
      <c r="E396" s="28" t="s">
        <v>571</v>
      </c>
      <c r="F396" s="700"/>
      <c r="G396" s="702"/>
      <c r="H396" s="703"/>
      <c r="I396" s="704"/>
    </row>
    <row r="397" spans="1:11" s="17" customFormat="1" ht="16.5" customHeight="1" x14ac:dyDescent="0.2">
      <c r="A397" s="146">
        <v>1</v>
      </c>
      <c r="B397" s="717">
        <v>2</v>
      </c>
      <c r="C397" s="718"/>
      <c r="D397" s="147">
        <v>3</v>
      </c>
      <c r="E397" s="148">
        <v>4</v>
      </c>
      <c r="F397" s="149">
        <v>5</v>
      </c>
      <c r="G397" s="150">
        <v>6</v>
      </c>
      <c r="H397" s="719">
        <v>7</v>
      </c>
      <c r="I397" s="720"/>
    </row>
    <row r="398" spans="1:11" s="17" customFormat="1" ht="16.5" customHeight="1" x14ac:dyDescent="0.2">
      <c r="A398" s="151">
        <v>10</v>
      </c>
      <c r="B398" s="676" t="s">
        <v>155</v>
      </c>
      <c r="C398" s="677"/>
      <c r="D398" s="491">
        <v>32092009</v>
      </c>
      <c r="E398" s="491">
        <v>34895564.399999999</v>
      </c>
      <c r="F398" s="480">
        <f t="shared" ref="F398:F403" si="13">E398-D398</f>
        <v>2803555.3999999985</v>
      </c>
      <c r="G398" s="153">
        <f>D398/D404</f>
        <v>0.85676874079645293</v>
      </c>
      <c r="H398" s="711">
        <f>E398/E404</f>
        <v>0.80732266380618911</v>
      </c>
      <c r="I398" s="712"/>
    </row>
    <row r="399" spans="1:11" s="17" customFormat="1" ht="16.5" customHeight="1" x14ac:dyDescent="0.2">
      <c r="A399" s="151">
        <v>21</v>
      </c>
      <c r="B399" s="676" t="s">
        <v>156</v>
      </c>
      <c r="C399" s="677"/>
      <c r="D399" s="96">
        <v>5365017</v>
      </c>
      <c r="E399" s="96">
        <v>5365016.99</v>
      </c>
      <c r="F399" s="481">
        <f>E399-D399</f>
        <v>-9.9999997764825821E-3</v>
      </c>
      <c r="G399" s="153">
        <f>D399/D404</f>
        <v>0.14323125920354701</v>
      </c>
      <c r="H399" s="711">
        <f>E399/E404</f>
        <v>0.12412178688625146</v>
      </c>
      <c r="I399" s="712"/>
    </row>
    <row r="400" spans="1:11" s="17" customFormat="1" ht="16.5" customHeight="1" x14ac:dyDescent="0.2">
      <c r="A400" s="151">
        <v>22</v>
      </c>
      <c r="B400" s="676" t="s">
        <v>531</v>
      </c>
      <c r="C400" s="677"/>
      <c r="D400" s="96">
        <v>0</v>
      </c>
      <c r="E400" s="110">
        <v>1599327.18</v>
      </c>
      <c r="F400" s="152">
        <f t="shared" si="13"/>
        <v>1599327.18</v>
      </c>
      <c r="G400" s="153">
        <f>D400/D404</f>
        <v>0</v>
      </c>
      <c r="H400" s="711">
        <f>E400/E404</f>
        <v>3.700106593648448E-2</v>
      </c>
      <c r="I400" s="712"/>
    </row>
    <row r="401" spans="1:9" s="17" customFormat="1" ht="16.5" customHeight="1" x14ac:dyDescent="0.2">
      <c r="A401" s="151">
        <v>31</v>
      </c>
      <c r="B401" s="676" t="s">
        <v>157</v>
      </c>
      <c r="C401" s="677"/>
      <c r="D401" s="96">
        <v>0</v>
      </c>
      <c r="E401" s="110">
        <f>23104.81+40408.8+2015.49+352</f>
        <v>65881.100000000006</v>
      </c>
      <c r="F401" s="152">
        <f t="shared" si="13"/>
        <v>65881.100000000006</v>
      </c>
      <c r="G401" s="153">
        <f>D401/D404</f>
        <v>0</v>
      </c>
      <c r="H401" s="711">
        <f>E401/E404</f>
        <v>1.5241852671247218E-3</v>
      </c>
      <c r="I401" s="712"/>
    </row>
    <row r="402" spans="1:9" s="17" customFormat="1" ht="16.5" customHeight="1" x14ac:dyDescent="0.2">
      <c r="A402" s="151" t="s">
        <v>158</v>
      </c>
      <c r="B402" s="676" t="s">
        <v>142</v>
      </c>
      <c r="C402" s="677"/>
      <c r="D402" s="110">
        <v>0</v>
      </c>
      <c r="E402" s="110">
        <f>15261.27+360414.67+7866.92+860.01+912200.25+420.89+1000</f>
        <v>1298024.01</v>
      </c>
      <c r="F402" s="152">
        <f t="shared" si="13"/>
        <v>1298024.01</v>
      </c>
      <c r="G402" s="153">
        <f>D402/D404</f>
        <v>0</v>
      </c>
      <c r="H402" s="711">
        <f>E402/E404</f>
        <v>3.0030298103950182E-2</v>
      </c>
      <c r="I402" s="712"/>
    </row>
    <row r="403" spans="1:9" s="17" customFormat="1" ht="16.5" customHeight="1" x14ac:dyDescent="0.2">
      <c r="A403" s="86" t="s">
        <v>159</v>
      </c>
      <c r="B403" s="601" t="s">
        <v>160</v>
      </c>
      <c r="C403" s="602"/>
      <c r="D403" s="6">
        <v>0</v>
      </c>
      <c r="E403" s="492">
        <v>0</v>
      </c>
      <c r="F403" s="152">
        <f t="shared" si="13"/>
        <v>0</v>
      </c>
      <c r="G403" s="153">
        <f>D403/D404</f>
        <v>0</v>
      </c>
      <c r="H403" s="711">
        <f>E403/E404</f>
        <v>0</v>
      </c>
      <c r="I403" s="712"/>
    </row>
    <row r="404" spans="1:9" s="17" customFormat="1" ht="16.5" customHeight="1" x14ac:dyDescent="0.2">
      <c r="A404" s="154"/>
      <c r="B404" s="625" t="s">
        <v>454</v>
      </c>
      <c r="C404" s="626"/>
      <c r="D404" s="467">
        <f>D398+D399+D400+D401+D402+D403</f>
        <v>37457026</v>
      </c>
      <c r="E404" s="467">
        <f>E398+E399+E400+E401+E402+E403</f>
        <v>43223813.68</v>
      </c>
      <c r="F404" s="467">
        <f>F398+F399+F400+F401+F402+F403</f>
        <v>5766787.6799999978</v>
      </c>
      <c r="G404" s="155">
        <f>G398+G399+G400+G401+G402+G403</f>
        <v>1</v>
      </c>
      <c r="H404" s="713">
        <f>H398+H399+H400+H401+H402+H403</f>
        <v>0.99999999999999989</v>
      </c>
      <c r="I404" s="714"/>
    </row>
    <row r="405" spans="1:9" s="17" customFormat="1" ht="16.5" customHeight="1" x14ac:dyDescent="0.2">
      <c r="A405" s="145"/>
      <c r="B405" s="621" t="s">
        <v>584</v>
      </c>
      <c r="C405" s="621"/>
      <c r="D405" s="621"/>
      <c r="E405" s="621"/>
      <c r="F405" s="621"/>
      <c r="G405" s="621"/>
      <c r="H405" s="621"/>
      <c r="I405" s="621"/>
    </row>
    <row r="406" spans="1:9" s="17" customFormat="1" ht="16.5" customHeight="1" x14ac:dyDescent="0.2">
      <c r="A406" s="145"/>
      <c r="B406" s="621" t="s">
        <v>582</v>
      </c>
      <c r="C406" s="621"/>
      <c r="D406" s="621"/>
      <c r="E406" s="621"/>
      <c r="F406" s="621"/>
      <c r="G406" s="621"/>
      <c r="H406" s="621"/>
      <c r="I406" s="621"/>
    </row>
    <row r="407" spans="1:9" s="17" customFormat="1" ht="16.5" customHeight="1" x14ac:dyDescent="0.2">
      <c r="A407" s="145"/>
      <c r="B407" s="621" t="s">
        <v>583</v>
      </c>
      <c r="C407" s="621"/>
      <c r="D407" s="621"/>
      <c r="E407" s="621"/>
      <c r="F407" s="621"/>
      <c r="G407" s="621"/>
      <c r="H407" s="621"/>
      <c r="I407" s="621"/>
    </row>
    <row r="408" spans="1:9" s="17" customFormat="1" ht="16.5" customHeight="1" x14ac:dyDescent="0.2">
      <c r="A408" s="145"/>
      <c r="B408" s="621" t="s">
        <v>1030</v>
      </c>
      <c r="C408" s="621"/>
      <c r="D408" s="621"/>
      <c r="E408" s="621"/>
      <c r="F408" s="621"/>
      <c r="G408" s="621"/>
      <c r="H408" s="621"/>
      <c r="I408" s="621"/>
    </row>
    <row r="409" spans="1:9" s="17" customFormat="1" ht="16.5" customHeight="1" x14ac:dyDescent="0.2">
      <c r="A409" s="145"/>
      <c r="B409" s="621" t="s">
        <v>437</v>
      </c>
      <c r="C409" s="621"/>
      <c r="D409" s="621"/>
      <c r="E409" s="621"/>
      <c r="F409" s="621"/>
      <c r="G409" s="621"/>
      <c r="H409" s="621"/>
      <c r="I409" s="621"/>
    </row>
    <row r="410" spans="1:9" s="17" customFormat="1" ht="16.5" customHeight="1" x14ac:dyDescent="0.2">
      <c r="A410" s="156"/>
      <c r="B410" s="621" t="s">
        <v>605</v>
      </c>
      <c r="C410" s="621"/>
      <c r="D410" s="621"/>
      <c r="E410" s="621"/>
      <c r="F410" s="621"/>
      <c r="G410" s="621"/>
      <c r="H410" s="621"/>
      <c r="I410" s="621"/>
    </row>
    <row r="411" spans="1:9" s="17" customFormat="1" ht="16.5" customHeight="1" x14ac:dyDescent="0.2">
      <c r="A411" s="156"/>
      <c r="B411" s="621" t="s">
        <v>606</v>
      </c>
      <c r="C411" s="621"/>
      <c r="D411" s="621"/>
      <c r="E411" s="621"/>
      <c r="F411" s="621"/>
      <c r="G411" s="621"/>
      <c r="H411" s="621"/>
      <c r="I411" s="621"/>
    </row>
    <row r="412" spans="1:9" s="17" customFormat="1" ht="16.5" customHeight="1" x14ac:dyDescent="0.2">
      <c r="A412" s="157"/>
      <c r="B412" s="722" t="s">
        <v>631</v>
      </c>
      <c r="C412" s="722"/>
      <c r="D412" s="722"/>
      <c r="E412" s="722"/>
      <c r="F412" s="722"/>
      <c r="G412" s="722"/>
      <c r="H412" s="722"/>
      <c r="I412" s="722"/>
    </row>
    <row r="413" spans="1:9" s="17" customFormat="1" ht="16.5" customHeight="1" x14ac:dyDescent="0.2">
      <c r="A413" s="157"/>
      <c r="B413" s="336"/>
      <c r="C413" s="336"/>
      <c r="D413" s="336"/>
      <c r="E413" s="336"/>
      <c r="F413" s="336"/>
      <c r="G413" s="336"/>
      <c r="H413" s="336"/>
      <c r="I413" s="336"/>
    </row>
    <row r="414" spans="1:9" s="17" customFormat="1" ht="16.5" customHeight="1" x14ac:dyDescent="0.2">
      <c r="A414" s="156"/>
      <c r="B414" s="623" t="s">
        <v>632</v>
      </c>
      <c r="C414" s="623"/>
      <c r="D414" s="623"/>
      <c r="E414" s="623"/>
      <c r="F414" s="623"/>
      <c r="G414" s="623"/>
      <c r="H414" s="623"/>
      <c r="I414" s="623"/>
    </row>
    <row r="415" spans="1:9" s="17" customFormat="1" ht="16.5" customHeight="1" x14ac:dyDescent="0.2">
      <c r="A415" s="156"/>
      <c r="B415" s="623" t="s">
        <v>540</v>
      </c>
      <c r="C415" s="623"/>
      <c r="D415" s="623"/>
      <c r="E415" s="623"/>
      <c r="F415" s="623"/>
      <c r="G415" s="623"/>
      <c r="H415" s="623"/>
      <c r="I415" s="623"/>
    </row>
    <row r="416" spans="1:9" s="17" customFormat="1" ht="16.5" customHeight="1" x14ac:dyDescent="0.2">
      <c r="A416" s="156"/>
      <c r="B416" s="623" t="s">
        <v>585</v>
      </c>
      <c r="C416" s="623"/>
      <c r="D416" s="623"/>
      <c r="E416" s="623"/>
      <c r="F416" s="623"/>
      <c r="G416" s="623"/>
      <c r="H416" s="623"/>
      <c r="I416" s="623"/>
    </row>
    <row r="417" spans="1:9" s="17" customFormat="1" ht="16.5" customHeight="1" x14ac:dyDescent="0.2">
      <c r="A417" s="156"/>
      <c r="B417" s="623" t="s">
        <v>541</v>
      </c>
      <c r="C417" s="623"/>
      <c r="D417" s="623"/>
      <c r="E417" s="623"/>
      <c r="F417" s="623"/>
      <c r="G417" s="623"/>
      <c r="H417" s="623"/>
      <c r="I417" s="623"/>
    </row>
    <row r="418" spans="1:9" s="17" customFormat="1" ht="16.5" customHeight="1" x14ac:dyDescent="0.2">
      <c r="E418" s="451"/>
    </row>
    <row r="419" spans="1:9" s="17" customFormat="1" ht="16.5" customHeight="1" x14ac:dyDescent="0.2">
      <c r="A419" s="468"/>
      <c r="B419" s="721" t="s">
        <v>633</v>
      </c>
      <c r="C419" s="721"/>
      <c r="D419" s="721"/>
      <c r="E419" s="721"/>
      <c r="F419" s="721"/>
      <c r="G419" s="721"/>
      <c r="H419" s="482"/>
      <c r="I419" s="482"/>
    </row>
    <row r="420" spans="1:9" s="17" customFormat="1" ht="16.5" customHeight="1" x14ac:dyDescent="0.2">
      <c r="A420" s="538">
        <v>32</v>
      </c>
      <c r="B420" s="721" t="s">
        <v>498</v>
      </c>
      <c r="C420" s="721"/>
      <c r="D420" s="483">
        <v>0</v>
      </c>
      <c r="E420" s="482"/>
      <c r="F420" s="484"/>
      <c r="G420" s="485"/>
      <c r="H420" s="486"/>
      <c r="I420" s="486"/>
    </row>
    <row r="421" spans="1:9" s="17" customFormat="1" ht="16.5" customHeight="1" x14ac:dyDescent="0.2">
      <c r="A421" s="538">
        <v>54</v>
      </c>
      <c r="B421" s="721" t="s">
        <v>434</v>
      </c>
      <c r="C421" s="721"/>
      <c r="D421" s="483">
        <v>7866.92</v>
      </c>
      <c r="E421" s="482" t="s">
        <v>538</v>
      </c>
      <c r="F421" s="484"/>
      <c r="G421" s="485"/>
      <c r="H421" s="486"/>
      <c r="I421" s="486"/>
    </row>
    <row r="422" spans="1:9" s="17" customFormat="1" ht="16.5" customHeight="1" x14ac:dyDescent="0.2">
      <c r="A422" s="538">
        <v>49</v>
      </c>
      <c r="B422" s="721" t="s">
        <v>435</v>
      </c>
      <c r="C422" s="721"/>
      <c r="D422" s="483">
        <v>360414.67</v>
      </c>
      <c r="E422" s="482" t="s">
        <v>1031</v>
      </c>
      <c r="F422" s="484"/>
      <c r="G422" s="485"/>
      <c r="H422" s="486"/>
      <c r="I422" s="486"/>
    </row>
    <row r="423" spans="1:9" s="17" customFormat="1" ht="16.5" customHeight="1" x14ac:dyDescent="0.2">
      <c r="A423" s="538"/>
      <c r="B423" s="485"/>
      <c r="C423" s="485"/>
      <c r="D423" s="483"/>
      <c r="E423" s="482" t="s">
        <v>1032</v>
      </c>
      <c r="F423" s="484"/>
      <c r="G423" s="485"/>
      <c r="H423" s="486"/>
      <c r="I423" s="486"/>
    </row>
    <row r="424" spans="1:9" s="17" customFormat="1" ht="16.5" customHeight="1" x14ac:dyDescent="0.2">
      <c r="A424" s="538">
        <v>46</v>
      </c>
      <c r="B424" s="486" t="s">
        <v>161</v>
      </c>
      <c r="C424" s="484"/>
      <c r="D424" s="487">
        <v>15261.27</v>
      </c>
      <c r="E424" s="723" t="s">
        <v>604</v>
      </c>
      <c r="F424" s="723"/>
      <c r="G424" s="723"/>
      <c r="H424" s="723"/>
      <c r="I424" s="723"/>
    </row>
    <row r="425" spans="1:9" s="17" customFormat="1" ht="16.5" customHeight="1" x14ac:dyDescent="0.2">
      <c r="A425" s="296">
        <v>60</v>
      </c>
      <c r="B425" s="249" t="s">
        <v>535</v>
      </c>
      <c r="C425" s="484"/>
      <c r="D425" s="487">
        <v>860.01</v>
      </c>
      <c r="E425" s="482" t="s">
        <v>542</v>
      </c>
      <c r="F425" s="482"/>
      <c r="G425" s="482"/>
      <c r="H425" s="466"/>
      <c r="I425" s="466"/>
    </row>
    <row r="426" spans="1:9" s="17" customFormat="1" ht="16.5" customHeight="1" x14ac:dyDescent="0.2">
      <c r="A426" s="296">
        <v>61</v>
      </c>
      <c r="B426" s="249" t="s">
        <v>536</v>
      </c>
      <c r="C426" s="484"/>
      <c r="D426" s="487">
        <v>912200.25</v>
      </c>
      <c r="E426" s="482" t="s">
        <v>668</v>
      </c>
      <c r="F426" s="482"/>
      <c r="G426" s="482"/>
      <c r="H426" s="466"/>
      <c r="I426" s="466"/>
    </row>
    <row r="427" spans="1:9" s="17" customFormat="1" ht="16.5" customHeight="1" x14ac:dyDescent="0.2">
      <c r="A427" s="296"/>
      <c r="B427" s="249"/>
      <c r="C427" s="484"/>
      <c r="D427" s="487"/>
      <c r="E427" s="482" t="s">
        <v>669</v>
      </c>
      <c r="F427" s="482"/>
      <c r="G427" s="482"/>
      <c r="H427" s="466"/>
      <c r="I427" s="466"/>
    </row>
    <row r="428" spans="1:9" s="17" customFormat="1" ht="16.5" customHeight="1" x14ac:dyDescent="0.2">
      <c r="A428" s="296">
        <v>65</v>
      </c>
      <c r="B428" s="249" t="s">
        <v>516</v>
      </c>
      <c r="C428" s="484"/>
      <c r="D428" s="487">
        <v>420.89</v>
      </c>
      <c r="E428" s="482" t="s">
        <v>670</v>
      </c>
      <c r="F428" s="482"/>
      <c r="G428" s="482"/>
      <c r="H428" s="466"/>
      <c r="I428" s="466"/>
    </row>
    <row r="429" spans="1:9" s="17" customFormat="1" ht="16.5" customHeight="1" x14ac:dyDescent="0.2">
      <c r="A429" s="296"/>
      <c r="B429" s="249"/>
      <c r="C429" s="484"/>
      <c r="D429" s="487"/>
      <c r="E429" s="482" t="s">
        <v>671</v>
      </c>
      <c r="F429" s="482"/>
      <c r="G429" s="482"/>
      <c r="H429" s="466"/>
      <c r="I429" s="466"/>
    </row>
    <row r="430" spans="1:9" s="17" customFormat="1" ht="16.5" customHeight="1" x14ac:dyDescent="0.2">
      <c r="A430" s="296">
        <v>97</v>
      </c>
      <c r="B430" s="249" t="s">
        <v>517</v>
      </c>
      <c r="C430" s="484"/>
      <c r="D430" s="487">
        <v>1000</v>
      </c>
      <c r="E430" s="482" t="s">
        <v>539</v>
      </c>
      <c r="F430" s="482"/>
      <c r="G430" s="482"/>
      <c r="H430" s="466"/>
      <c r="I430" s="466"/>
    </row>
    <row r="431" spans="1:9" s="17" customFormat="1" ht="16.5" customHeight="1" x14ac:dyDescent="0.2">
      <c r="A431" s="468"/>
      <c r="B431" s="488" t="s">
        <v>513</v>
      </c>
      <c r="C431" s="484"/>
      <c r="D431" s="489">
        <f>D420+D421+D422+D424+D425+D426+D428+D430</f>
        <v>1298024.01</v>
      </c>
      <c r="E431" s="482"/>
      <c r="F431" s="482"/>
      <c r="G431" s="482"/>
      <c r="H431" s="482"/>
      <c r="I431" s="249"/>
    </row>
    <row r="432" spans="1:9" s="17" customFormat="1" ht="16.5" customHeight="1" x14ac:dyDescent="0.2">
      <c r="A432" s="156"/>
      <c r="B432" s="156"/>
      <c r="C432" s="23"/>
      <c r="D432" s="410"/>
      <c r="E432" s="158"/>
      <c r="F432" s="145"/>
      <c r="G432" s="145"/>
      <c r="H432" s="158"/>
      <c r="I432" s="159"/>
    </row>
    <row r="433" spans="1:9" s="17" customFormat="1" ht="16.5" customHeight="1" x14ac:dyDescent="0.2">
      <c r="D433" s="410"/>
    </row>
    <row r="434" spans="1:9" s="17" customFormat="1" ht="16.5" customHeight="1" x14ac:dyDescent="0.2">
      <c r="A434" s="156"/>
      <c r="B434" s="205"/>
      <c r="C434" s="23"/>
      <c r="D434" s="456"/>
      <c r="E434" s="160"/>
      <c r="F434" s="160"/>
      <c r="G434" s="160"/>
      <c r="H434" s="158"/>
      <c r="I434" s="159"/>
    </row>
    <row r="435" spans="1:9" s="17" customFormat="1" ht="16.5" customHeight="1" x14ac:dyDescent="0.2">
      <c r="A435" s="156"/>
      <c r="G435" s="160"/>
      <c r="H435" s="158"/>
      <c r="I435" s="159"/>
    </row>
    <row r="436" spans="1:9" s="17" customFormat="1" ht="16.5" customHeight="1" x14ac:dyDescent="0.2">
      <c r="A436" s="145"/>
      <c r="B436" s="145"/>
      <c r="C436" s="145"/>
      <c r="D436" s="145"/>
      <c r="E436" s="145"/>
      <c r="F436" s="145"/>
      <c r="G436" s="145"/>
      <c r="H436" s="145"/>
      <c r="I436" s="145"/>
    </row>
    <row r="437" spans="1:9" s="17" customFormat="1" ht="16.5" customHeight="1" x14ac:dyDescent="0.2">
      <c r="A437" s="145"/>
      <c r="B437" s="145"/>
      <c r="C437" s="145"/>
      <c r="D437" s="145"/>
      <c r="E437" s="145"/>
      <c r="F437" s="145"/>
      <c r="G437" s="145"/>
      <c r="H437" s="145"/>
      <c r="I437" s="145"/>
    </row>
    <row r="438" spans="1:9" s="17" customFormat="1" ht="16.5" customHeight="1" x14ac:dyDescent="0.2">
      <c r="A438" s="145"/>
      <c r="B438" s="145"/>
      <c r="C438" s="145"/>
      <c r="D438" s="145"/>
      <c r="E438" s="145"/>
      <c r="F438" s="145"/>
      <c r="G438" s="145"/>
      <c r="H438" s="145"/>
      <c r="I438" s="145"/>
    </row>
    <row r="439" spans="1:9" s="17" customFormat="1" ht="16.5" customHeight="1" x14ac:dyDescent="0.2">
      <c r="A439" s="145"/>
      <c r="B439" s="145"/>
      <c r="C439" s="145"/>
      <c r="D439" s="145"/>
      <c r="E439" s="145"/>
      <c r="F439" s="145"/>
      <c r="G439" s="145"/>
      <c r="H439" s="145"/>
      <c r="I439" s="145"/>
    </row>
    <row r="440" spans="1:9" s="17" customFormat="1" ht="16.5" customHeight="1" x14ac:dyDescent="0.2">
      <c r="A440" s="145"/>
      <c r="B440" s="145"/>
      <c r="C440" s="145"/>
      <c r="D440" s="145"/>
      <c r="E440" s="145"/>
      <c r="F440" s="145"/>
      <c r="G440" s="145"/>
      <c r="H440" s="145"/>
      <c r="I440" s="145"/>
    </row>
    <row r="441" spans="1:9" s="17" customFormat="1" ht="16.5" customHeight="1" x14ac:dyDescent="0.2">
      <c r="A441" s="145"/>
      <c r="B441" s="145"/>
      <c r="C441" s="145"/>
      <c r="D441" s="145"/>
      <c r="E441" s="145"/>
      <c r="F441" s="145"/>
      <c r="G441" s="145"/>
      <c r="H441" s="145"/>
      <c r="I441" s="145"/>
    </row>
    <row r="442" spans="1:9" s="17" customFormat="1" ht="16.5" customHeight="1" x14ac:dyDescent="0.2">
      <c r="A442" s="145"/>
      <c r="B442" s="145"/>
      <c r="C442" s="145"/>
      <c r="D442" s="145"/>
      <c r="E442" s="145"/>
      <c r="F442" s="145"/>
      <c r="G442" s="145"/>
      <c r="H442" s="145"/>
      <c r="I442" s="257">
        <v>7</v>
      </c>
    </row>
    <row r="443" spans="1:9" s="17" customFormat="1" ht="16.5" customHeight="1" x14ac:dyDescent="0.2">
      <c r="A443" s="145"/>
      <c r="B443" s="145"/>
      <c r="C443" s="145"/>
      <c r="D443" s="145"/>
      <c r="E443" s="145"/>
      <c r="F443" s="145"/>
      <c r="G443" s="145"/>
      <c r="H443" s="145"/>
      <c r="I443" s="257"/>
    </row>
    <row r="444" spans="1:9" s="17" customFormat="1" ht="16.5" customHeight="1" x14ac:dyDescent="0.2">
      <c r="A444" s="23"/>
      <c r="B444" s="23"/>
      <c r="C444" s="23"/>
      <c r="D444" s="605" t="s">
        <v>84</v>
      </c>
      <c r="E444" s="605"/>
      <c r="F444" s="605"/>
      <c r="G444" s="23"/>
      <c r="H444" s="23"/>
      <c r="I444" s="156"/>
    </row>
    <row r="445" spans="1:9" s="17" customFormat="1" ht="16.5" customHeight="1" x14ac:dyDescent="0.2">
      <c r="A445" s="23"/>
      <c r="B445" s="23"/>
      <c r="C445" s="23"/>
      <c r="D445" s="144"/>
      <c r="E445" s="144"/>
      <c r="F445" s="144"/>
      <c r="G445" s="23"/>
      <c r="H445" s="23"/>
      <c r="I445" s="156"/>
    </row>
    <row r="446" spans="1:9" s="17" customFormat="1" ht="16.5" customHeight="1" x14ac:dyDescent="0.2">
      <c r="A446" s="613" t="s">
        <v>150</v>
      </c>
      <c r="B446" s="615" t="s">
        <v>151</v>
      </c>
      <c r="C446" s="616"/>
      <c r="D446" s="411" t="s">
        <v>85</v>
      </c>
      <c r="E446" s="409" t="s">
        <v>152</v>
      </c>
      <c r="F446" s="42" t="s">
        <v>86</v>
      </c>
      <c r="G446" s="619" t="s">
        <v>52</v>
      </c>
      <c r="H446" s="620"/>
      <c r="I446" s="161" t="s">
        <v>53</v>
      </c>
    </row>
    <row r="447" spans="1:9" s="17" customFormat="1" ht="16.5" customHeight="1" x14ac:dyDescent="0.2">
      <c r="A447" s="614"/>
      <c r="B447" s="617"/>
      <c r="C447" s="618"/>
      <c r="D447" s="412" t="s">
        <v>537</v>
      </c>
      <c r="E447" s="44" t="s">
        <v>571</v>
      </c>
      <c r="F447" s="44" t="s">
        <v>571</v>
      </c>
      <c r="G447" s="29" t="s">
        <v>55</v>
      </c>
      <c r="H447" s="29" t="s">
        <v>56</v>
      </c>
      <c r="I447" s="162"/>
    </row>
    <row r="448" spans="1:9" s="17" customFormat="1" ht="16.5" customHeight="1" x14ac:dyDescent="0.2">
      <c r="A448" s="149">
        <v>1</v>
      </c>
      <c r="B448" s="146">
        <v>2</v>
      </c>
      <c r="C448" s="163"/>
      <c r="D448" s="147">
        <v>3</v>
      </c>
      <c r="E448" s="148">
        <v>4</v>
      </c>
      <c r="F448" s="147">
        <v>5</v>
      </c>
      <c r="G448" s="147">
        <v>6</v>
      </c>
      <c r="H448" s="147">
        <v>7</v>
      </c>
      <c r="I448" s="164">
        <v>8</v>
      </c>
    </row>
    <row r="449" spans="1:12" s="17" customFormat="1" ht="16.5" customHeight="1" x14ac:dyDescent="0.2">
      <c r="A449" s="86">
        <v>10</v>
      </c>
      <c r="B449" s="601" t="s">
        <v>162</v>
      </c>
      <c r="C449" s="602"/>
      <c r="D449" s="6">
        <v>32105989.170000002</v>
      </c>
      <c r="E449" s="551">
        <v>34895564.399999999</v>
      </c>
      <c r="F449" s="6">
        <v>34851646.810000002</v>
      </c>
      <c r="G449" s="165">
        <f t="shared" ref="G449:G461" si="14">F449/D449</f>
        <v>1.0855185499958231</v>
      </c>
      <c r="H449" s="165">
        <f t="shared" ref="H449:H460" si="15">F449/E449</f>
        <v>0.99874145637833567</v>
      </c>
      <c r="I449" s="166">
        <f>F449/F461</f>
        <v>0.8205967057670337</v>
      </c>
    </row>
    <row r="450" spans="1:12" s="17" customFormat="1" ht="16.5" customHeight="1" x14ac:dyDescent="0.2">
      <c r="A450" s="86">
        <v>21</v>
      </c>
      <c r="B450" s="601" t="s">
        <v>96</v>
      </c>
      <c r="C450" s="602"/>
      <c r="D450" s="167">
        <v>4638509.51</v>
      </c>
      <c r="E450" s="96">
        <v>5365016.99</v>
      </c>
      <c r="F450" s="167">
        <v>5082090.74</v>
      </c>
      <c r="G450" s="165">
        <f t="shared" si="14"/>
        <v>1.095630121926817</v>
      </c>
      <c r="H450" s="165">
        <f t="shared" si="15"/>
        <v>0.94726461248354776</v>
      </c>
      <c r="I450" s="166">
        <f>F450/F461</f>
        <v>0.11965996735788528</v>
      </c>
    </row>
    <row r="451" spans="1:12" s="17" customFormat="1" ht="16.5" customHeight="1" x14ac:dyDescent="0.2">
      <c r="A451" s="86">
        <v>22</v>
      </c>
      <c r="B451" s="601" t="s">
        <v>522</v>
      </c>
      <c r="C451" s="602"/>
      <c r="D451" s="167">
        <v>3204030.01</v>
      </c>
      <c r="E451" s="552">
        <v>1599327.18</v>
      </c>
      <c r="F451" s="167">
        <v>1406773.92</v>
      </c>
      <c r="G451" s="165">
        <f t="shared" si="14"/>
        <v>0.439063902525682</v>
      </c>
      <c r="H451" s="165">
        <f t="shared" si="15"/>
        <v>0.87960358430224383</v>
      </c>
      <c r="I451" s="166">
        <f>F451/F461</f>
        <v>3.3123084564823081E-2</v>
      </c>
    </row>
    <row r="452" spans="1:12" s="17" customFormat="1" ht="16.5" customHeight="1" x14ac:dyDescent="0.2">
      <c r="A452" s="86">
        <v>31</v>
      </c>
      <c r="B452" s="601" t="s">
        <v>157</v>
      </c>
      <c r="C452" s="602"/>
      <c r="D452" s="6">
        <v>73212.2</v>
      </c>
      <c r="E452" s="110">
        <v>65881.100000000006</v>
      </c>
      <c r="F452" s="6">
        <v>40408.800000000003</v>
      </c>
      <c r="G452" s="165">
        <f t="shared" si="14"/>
        <v>0.55194079675245389</v>
      </c>
      <c r="H452" s="165">
        <f t="shared" si="15"/>
        <v>0.61335952192662235</v>
      </c>
      <c r="I452" s="166">
        <f>F452/F461</f>
        <v>9.5144221863526087E-4</v>
      </c>
    </row>
    <row r="453" spans="1:12" s="17" customFormat="1" ht="16.5" customHeight="1" x14ac:dyDescent="0.2">
      <c r="A453" s="86" t="s">
        <v>158</v>
      </c>
      <c r="B453" s="601" t="s">
        <v>142</v>
      </c>
      <c r="C453" s="602"/>
      <c r="D453" s="475">
        <f>D454+D455+D456+D457</f>
        <v>219086.65</v>
      </c>
      <c r="E453" s="476">
        <f>E454+E455+E456+E457+E460</f>
        <v>385823.76</v>
      </c>
      <c r="F453" s="475">
        <f>F454+F455+F456+F457</f>
        <v>341558.74</v>
      </c>
      <c r="G453" s="165">
        <f t="shared" si="14"/>
        <v>1.5590121077664933</v>
      </c>
      <c r="H453" s="165">
        <f t="shared" si="15"/>
        <v>0.88527139956336531</v>
      </c>
      <c r="I453" s="166">
        <f>F453/F461</f>
        <v>8.042144418539135E-3</v>
      </c>
    </row>
    <row r="454" spans="1:12" s="17" customFormat="1" ht="16.5" customHeight="1" x14ac:dyDescent="0.2">
      <c r="A454" s="86">
        <v>32</v>
      </c>
      <c r="B454" s="601" t="s">
        <v>501</v>
      </c>
      <c r="C454" s="602"/>
      <c r="D454" s="474">
        <v>0</v>
      </c>
      <c r="E454" s="473">
        <v>0</v>
      </c>
      <c r="F454" s="474">
        <v>0</v>
      </c>
      <c r="G454" s="165" t="e">
        <f t="shared" si="14"/>
        <v>#DIV/0!</v>
      </c>
      <c r="H454" s="165" t="e">
        <f t="shared" si="15"/>
        <v>#DIV/0!</v>
      </c>
      <c r="I454" s="166">
        <f>F454/F461</f>
        <v>0</v>
      </c>
    </row>
    <row r="455" spans="1:12" s="17" customFormat="1" ht="16.5" customHeight="1" x14ac:dyDescent="0.2">
      <c r="A455" s="86">
        <v>46</v>
      </c>
      <c r="B455" s="601" t="s">
        <v>502</v>
      </c>
      <c r="C455" s="602"/>
      <c r="D455" s="474">
        <v>9614.68</v>
      </c>
      <c r="E455" s="473">
        <f>D424</f>
        <v>15261.27</v>
      </c>
      <c r="F455" s="474">
        <v>11988.83</v>
      </c>
      <c r="G455" s="165">
        <f t="shared" si="14"/>
        <v>1.2469296950080502</v>
      </c>
      <c r="H455" s="165">
        <f t="shared" si="15"/>
        <v>0.78557223612451643</v>
      </c>
      <c r="I455" s="166">
        <f>F455/F461</f>
        <v>2.8228205277169762E-4</v>
      </c>
    </row>
    <row r="456" spans="1:12" s="17" customFormat="1" ht="16.5" customHeight="1" x14ac:dyDescent="0.2">
      <c r="A456" s="86">
        <v>49</v>
      </c>
      <c r="B456" s="601" t="s">
        <v>478</v>
      </c>
      <c r="C456" s="602"/>
      <c r="D456" s="474">
        <v>209471.97</v>
      </c>
      <c r="E456" s="473">
        <f>D422</f>
        <v>360414.67</v>
      </c>
      <c r="F456" s="474">
        <v>328075.61</v>
      </c>
      <c r="G456" s="165">
        <f t="shared" si="14"/>
        <v>1.5662029148816425</v>
      </c>
      <c r="H456" s="165">
        <f t="shared" si="15"/>
        <v>0.91027263124444957</v>
      </c>
      <c r="I456" s="166">
        <f>F456/F461</f>
        <v>7.7246784427777255E-3</v>
      </c>
    </row>
    <row r="457" spans="1:12" s="17" customFormat="1" ht="16.5" customHeight="1" x14ac:dyDescent="0.2">
      <c r="A457" s="86">
        <v>54</v>
      </c>
      <c r="B457" s="231" t="s">
        <v>503</v>
      </c>
      <c r="C457" s="459"/>
      <c r="D457" s="474">
        <v>0</v>
      </c>
      <c r="E457" s="473">
        <f>D421</f>
        <v>7866.92</v>
      </c>
      <c r="F457" s="474">
        <v>1494.3</v>
      </c>
      <c r="G457" s="165" t="e">
        <f t="shared" si="14"/>
        <v>#DIV/0!</v>
      </c>
      <c r="H457" s="165">
        <f t="shared" si="15"/>
        <v>0.18994727288443253</v>
      </c>
      <c r="I457" s="166">
        <f>F457/F461</f>
        <v>3.5183922989711901E-5</v>
      </c>
    </row>
    <row r="458" spans="1:12" s="17" customFormat="1" ht="16.5" customHeight="1" x14ac:dyDescent="0.2">
      <c r="A458" s="86">
        <v>61</v>
      </c>
      <c r="B458" s="231" t="s">
        <v>607</v>
      </c>
      <c r="C458" s="459"/>
      <c r="D458" s="474">
        <v>0</v>
      </c>
      <c r="E458" s="473">
        <v>912200.25</v>
      </c>
      <c r="F458" s="474">
        <v>748623.5</v>
      </c>
      <c r="G458" s="165" t="e">
        <f t="shared" si="14"/>
        <v>#DIV/0!</v>
      </c>
      <c r="H458" s="165">
        <f t="shared" si="15"/>
        <v>0.82067890246686515</v>
      </c>
      <c r="I458" s="166">
        <f>F458/F461</f>
        <v>1.7626655673083441E-2</v>
      </c>
    </row>
    <row r="459" spans="1:12" s="17" customFormat="1" ht="16.5" customHeight="1" x14ac:dyDescent="0.2">
      <c r="A459" s="86" t="s">
        <v>159</v>
      </c>
      <c r="B459" s="601" t="s">
        <v>160</v>
      </c>
      <c r="C459" s="602"/>
      <c r="D459" s="6">
        <v>0</v>
      </c>
      <c r="E459" s="455">
        <v>0</v>
      </c>
      <c r="F459" s="6">
        <v>0</v>
      </c>
      <c r="G459" s="165" t="e">
        <f t="shared" si="14"/>
        <v>#DIV/0!</v>
      </c>
      <c r="H459" s="165" t="e">
        <f t="shared" si="15"/>
        <v>#DIV/0!</v>
      </c>
      <c r="I459" s="166">
        <f>F459/F461</f>
        <v>0</v>
      </c>
    </row>
    <row r="460" spans="1:12" s="17" customFormat="1" ht="16.5" customHeight="1" x14ac:dyDescent="0.2">
      <c r="A460" s="86"/>
      <c r="B460" s="134" t="s">
        <v>514</v>
      </c>
      <c r="C460" s="459"/>
      <c r="D460" s="6">
        <v>0</v>
      </c>
      <c r="E460" s="472">
        <f>D430+D428+D425</f>
        <v>2280.8999999999996</v>
      </c>
      <c r="F460" s="6">
        <v>0</v>
      </c>
      <c r="G460" s="165" t="e">
        <f t="shared" si="14"/>
        <v>#DIV/0!</v>
      </c>
      <c r="H460" s="165">
        <f t="shared" si="15"/>
        <v>0</v>
      </c>
      <c r="I460" s="166">
        <f>F460/F461</f>
        <v>0</v>
      </c>
    </row>
    <row r="461" spans="1:12" s="17" customFormat="1" ht="16.5" customHeight="1" x14ac:dyDescent="0.2">
      <c r="A461" s="168"/>
      <c r="B461" s="625" t="s">
        <v>83</v>
      </c>
      <c r="C461" s="626"/>
      <c r="D461" s="470">
        <f>D449+D450+D451+D452+D453+D459+D460</f>
        <v>40240827.539999999</v>
      </c>
      <c r="E461" s="470">
        <f>E449+E450+E451+E452+E453+E458+E459</f>
        <v>43223813.68</v>
      </c>
      <c r="F461" s="470">
        <f>F449+F450+F451+F452+F453+F458+F459+F460</f>
        <v>42471102.510000005</v>
      </c>
      <c r="G461" s="170">
        <f t="shared" si="14"/>
        <v>1.0554231884963867</v>
      </c>
      <c r="H461" s="170">
        <f>F461/E461</f>
        <v>0.98258572981152104</v>
      </c>
      <c r="I461" s="155">
        <f>I449+I450+I451+I452+I453+I458</f>
        <v>0.99999999999999989</v>
      </c>
    </row>
    <row r="462" spans="1:12" s="17" customFormat="1" ht="16.5" customHeight="1" x14ac:dyDescent="0.2">
      <c r="A462" s="23"/>
      <c r="B462" s="23"/>
      <c r="C462" s="23"/>
      <c r="D462" s="23"/>
      <c r="E462" s="23"/>
      <c r="F462" s="23"/>
      <c r="G462" s="23"/>
      <c r="H462" s="23"/>
      <c r="I462" s="23"/>
    </row>
    <row r="463" spans="1:12" s="17" customFormat="1" ht="16.5" customHeight="1" x14ac:dyDescent="0.2">
      <c r="A463" s="156"/>
      <c r="B463" s="621" t="s">
        <v>1033</v>
      </c>
      <c r="C463" s="621"/>
      <c r="D463" s="621"/>
      <c r="E463" s="621"/>
      <c r="F463" s="621"/>
      <c r="G463" s="621"/>
      <c r="H463" s="621"/>
      <c r="I463" s="621"/>
    </row>
    <row r="464" spans="1:12" s="17" customFormat="1" ht="18" customHeight="1" x14ac:dyDescent="0.25">
      <c r="A464" s="156" t="s">
        <v>1034</v>
      </c>
      <c r="B464" s="156"/>
      <c r="C464" s="156"/>
      <c r="D464" s="156"/>
      <c r="E464" s="156"/>
      <c r="F464" s="156"/>
      <c r="G464" s="156"/>
      <c r="H464" s="156"/>
      <c r="I464" s="156"/>
      <c r="L464"/>
    </row>
    <row r="465" spans="1:17" s="17" customFormat="1" ht="16.5" customHeight="1" x14ac:dyDescent="0.25">
      <c r="A465" s="603" t="s">
        <v>1035</v>
      </c>
      <c r="B465" s="603"/>
      <c r="C465" s="603"/>
      <c r="D465" s="603"/>
      <c r="E465" s="603"/>
      <c r="F465" s="603"/>
      <c r="G465" s="603"/>
      <c r="H465" s="603"/>
      <c r="I465" s="603"/>
      <c r="L465"/>
    </row>
    <row r="466" spans="1:17" s="17" customFormat="1" ht="16.5" customHeight="1" x14ac:dyDescent="0.25">
      <c r="L466"/>
    </row>
    <row r="467" spans="1:17" s="17" customFormat="1" ht="16.5" customHeight="1" x14ac:dyDescent="0.2">
      <c r="A467" s="145"/>
      <c r="B467" s="145" t="s">
        <v>164</v>
      </c>
      <c r="C467" s="145"/>
      <c r="D467" s="145"/>
      <c r="E467" s="145"/>
      <c r="F467" s="145"/>
      <c r="G467" s="145"/>
      <c r="H467" s="145"/>
      <c r="I467" s="145"/>
      <c r="K467" s="145"/>
      <c r="L467" s="145"/>
      <c r="M467" s="145"/>
      <c r="N467" s="145"/>
      <c r="O467" s="145"/>
      <c r="P467" s="145"/>
      <c r="Q467" s="145"/>
    </row>
    <row r="468" spans="1:17" s="17" customFormat="1" ht="16.5" customHeight="1" x14ac:dyDescent="0.25">
      <c r="A468" s="156"/>
      <c r="B468" s="156"/>
      <c r="C468" s="15"/>
      <c r="D468" s="605" t="s">
        <v>165</v>
      </c>
      <c r="E468" s="605"/>
      <c r="F468" s="605"/>
      <c r="G468" s="156"/>
      <c r="H468" s="156"/>
      <c r="I468" s="156"/>
      <c r="L468"/>
    </row>
    <row r="469" spans="1:17" s="17" customFormat="1" ht="16.5" customHeight="1" x14ac:dyDescent="0.2">
      <c r="A469" s="156"/>
      <c r="B469" s="156"/>
      <c r="C469" s="15"/>
      <c r="D469" s="144"/>
      <c r="E469" s="144"/>
      <c r="F469" s="144"/>
      <c r="G469" s="156"/>
      <c r="H469" s="156"/>
      <c r="I469" s="156"/>
    </row>
    <row r="470" spans="1:17" s="17" customFormat="1" ht="16.5" customHeight="1" x14ac:dyDescent="0.2">
      <c r="A470" s="26" t="s">
        <v>48</v>
      </c>
      <c r="B470" s="615" t="s">
        <v>49</v>
      </c>
      <c r="C470" s="616"/>
      <c r="D470" s="411" t="s">
        <v>85</v>
      </c>
      <c r="E470" s="409" t="s">
        <v>152</v>
      </c>
      <c r="F470" s="42" t="s">
        <v>86</v>
      </c>
      <c r="G470" s="619" t="s">
        <v>52</v>
      </c>
      <c r="H470" s="620"/>
      <c r="I470" s="613" t="s">
        <v>53</v>
      </c>
    </row>
    <row r="471" spans="1:17" s="17" customFormat="1" ht="16.5" customHeight="1" x14ac:dyDescent="0.2">
      <c r="A471" s="27" t="s">
        <v>54</v>
      </c>
      <c r="B471" s="617"/>
      <c r="C471" s="618"/>
      <c r="D471" s="412" t="s">
        <v>537</v>
      </c>
      <c r="E471" s="44" t="s">
        <v>571</v>
      </c>
      <c r="F471" s="44" t="s">
        <v>571</v>
      </c>
      <c r="G471" s="29" t="s">
        <v>55</v>
      </c>
      <c r="H471" s="29" t="s">
        <v>56</v>
      </c>
      <c r="I471" s="614"/>
    </row>
    <row r="472" spans="1:17" s="17" customFormat="1" ht="16.5" customHeight="1" x14ac:dyDescent="0.2">
      <c r="A472" s="172">
        <v>1</v>
      </c>
      <c r="B472" s="724">
        <v>2</v>
      </c>
      <c r="C472" s="725"/>
      <c r="D472" s="173">
        <v>3</v>
      </c>
      <c r="E472" s="174">
        <v>4</v>
      </c>
      <c r="F472" s="175">
        <v>5</v>
      </c>
      <c r="G472" s="176">
        <v>6</v>
      </c>
      <c r="H472" s="176">
        <v>7</v>
      </c>
      <c r="I472" s="177">
        <v>8</v>
      </c>
    </row>
    <row r="473" spans="1:17" s="17" customFormat="1" ht="16.5" customHeight="1" x14ac:dyDescent="0.2">
      <c r="A473" s="182">
        <v>16019</v>
      </c>
      <c r="B473" s="638" t="s">
        <v>57</v>
      </c>
      <c r="C473" s="639"/>
      <c r="D473" s="417">
        <f>148006.38+43915.04+294945</f>
        <v>486866.42000000004</v>
      </c>
      <c r="E473" s="546">
        <f>197148+47500+290144.11</f>
        <v>534792.11</v>
      </c>
      <c r="F473" s="417">
        <f>197148+47371.22+286741.7</f>
        <v>531260.92000000004</v>
      </c>
      <c r="G473" s="170">
        <f t="shared" ref="G473:G511" si="16">F473/D473</f>
        <v>1.0911841486212994</v>
      </c>
      <c r="H473" s="170">
        <f t="shared" ref="H473:H511" si="17">F473/E473</f>
        <v>0.99339707910051267</v>
      </c>
      <c r="I473" s="155">
        <f>F473/F511</f>
        <v>1.2508762160692964E-2</v>
      </c>
    </row>
    <row r="474" spans="1:17" s="17" customFormat="1" ht="16.5" customHeight="1" x14ac:dyDescent="0.2">
      <c r="A474" s="182">
        <v>163</v>
      </c>
      <c r="B474" s="638" t="s">
        <v>17</v>
      </c>
      <c r="C474" s="639"/>
      <c r="D474" s="413">
        <f>D475+D476+D477</f>
        <v>1688844.6500000001</v>
      </c>
      <c r="E474" s="469">
        <f>E475+E476+E477</f>
        <v>3233163.19</v>
      </c>
      <c r="F474" s="469">
        <f>F475+F476+F477</f>
        <v>3207517.96</v>
      </c>
      <c r="G474" s="170">
        <f t="shared" si="16"/>
        <v>1.8992380145799672</v>
      </c>
      <c r="H474" s="170">
        <f t="shared" si="17"/>
        <v>0.99206806817567417</v>
      </c>
      <c r="I474" s="52">
        <f>F474/F511</f>
        <v>7.5522361569134583E-2</v>
      </c>
    </row>
    <row r="475" spans="1:17" s="17" customFormat="1" ht="16.5" customHeight="1" x14ac:dyDescent="0.2">
      <c r="A475" s="178">
        <v>16319</v>
      </c>
      <c r="B475" s="648" t="s">
        <v>166</v>
      </c>
      <c r="C475" s="649"/>
      <c r="D475" s="6">
        <f>338572+1021690.87+115800+199167.68</f>
        <v>1675230.55</v>
      </c>
      <c r="E475" s="463">
        <f>383174.21+2377158.52+122500+325000</f>
        <v>3207832.73</v>
      </c>
      <c r="F475" s="6">
        <f>383174.21+2366761.01+122453.56+310060.04</f>
        <v>3182448.82</v>
      </c>
      <c r="G475" s="165">
        <f t="shared" si="16"/>
        <v>1.8997079655692763</v>
      </c>
      <c r="H475" s="165">
        <f t="shared" si="17"/>
        <v>0.99208689724915922</v>
      </c>
      <c r="I475" s="81">
        <f>F475/F474</f>
        <v>0.99218425576641189</v>
      </c>
    </row>
    <row r="476" spans="1:17" s="17" customFormat="1" ht="16.5" customHeight="1" x14ac:dyDescent="0.2">
      <c r="A476" s="178">
        <v>16519</v>
      </c>
      <c r="B476" s="648" t="s">
        <v>167</v>
      </c>
      <c r="C476" s="649"/>
      <c r="D476" s="6">
        <f>2560.76</f>
        <v>2560.7600000000002</v>
      </c>
      <c r="E476" s="463">
        <f>3490.76+6500</f>
        <v>9990.76</v>
      </c>
      <c r="F476" s="6">
        <f>3490.76+6499.68</f>
        <v>9990.44</v>
      </c>
      <c r="G476" s="165">
        <f t="shared" si="16"/>
        <v>3.9013574095190489</v>
      </c>
      <c r="H476" s="165">
        <f t="shared" si="17"/>
        <v>0.99996797040465391</v>
      </c>
      <c r="I476" s="81">
        <f>F476/F474</f>
        <v>3.1146949524797052E-3</v>
      </c>
    </row>
    <row r="477" spans="1:17" s="17" customFormat="1" ht="16.5" customHeight="1" x14ac:dyDescent="0.2">
      <c r="A477" s="178">
        <v>16559</v>
      </c>
      <c r="B477" s="648" t="s">
        <v>168</v>
      </c>
      <c r="C477" s="649"/>
      <c r="D477" s="6">
        <f>7765.48+3287.86</f>
        <v>11053.34</v>
      </c>
      <c r="E477" s="463">
        <f>12539.7+2800</f>
        <v>15339.7</v>
      </c>
      <c r="F477" s="6">
        <f>12539.7+2539</f>
        <v>15078.7</v>
      </c>
      <c r="G477" s="165">
        <f t="shared" si="16"/>
        <v>1.3641758961544657</v>
      </c>
      <c r="H477" s="165">
        <f t="shared" si="17"/>
        <v>0.98298532565825925</v>
      </c>
      <c r="I477" s="81">
        <f>F477/F474</f>
        <v>4.7010492811083125E-3</v>
      </c>
    </row>
    <row r="478" spans="1:17" s="17" customFormat="1" ht="16.5" customHeight="1" x14ac:dyDescent="0.2">
      <c r="A478" s="182">
        <v>16637</v>
      </c>
      <c r="B478" s="638" t="s">
        <v>63</v>
      </c>
      <c r="C478" s="639"/>
      <c r="D478" s="414">
        <f>209434.98+61508.75</f>
        <v>270943.73</v>
      </c>
      <c r="E478" s="477">
        <f>223515.85+73500</f>
        <v>297015.84999999998</v>
      </c>
      <c r="F478" s="414">
        <f>223515.85+73495.99</f>
        <v>297011.84000000003</v>
      </c>
      <c r="G478" s="170">
        <f t="shared" si="16"/>
        <v>1.0962122651814088</v>
      </c>
      <c r="H478" s="170">
        <f t="shared" si="17"/>
        <v>0.99998649903700443</v>
      </c>
      <c r="I478" s="52">
        <f>F478/F511</f>
        <v>6.9932688921853937E-3</v>
      </c>
    </row>
    <row r="479" spans="1:17" s="17" customFormat="1" ht="16.5" customHeight="1" x14ac:dyDescent="0.2">
      <c r="A479" s="182">
        <v>16795</v>
      </c>
      <c r="B479" s="638" t="s">
        <v>64</v>
      </c>
      <c r="C479" s="639"/>
      <c r="D479" s="414">
        <f>23740.13+486.6</f>
        <v>24226.73</v>
      </c>
      <c r="E479" s="477">
        <f>28859.44+1000</f>
        <v>29859.439999999999</v>
      </c>
      <c r="F479" s="414">
        <f>28859.44+970</f>
        <v>29829.439999999999</v>
      </c>
      <c r="G479" s="170">
        <f t="shared" si="16"/>
        <v>1.2312615033064718</v>
      </c>
      <c r="H479" s="170">
        <f t="shared" si="17"/>
        <v>0.99899529261097997</v>
      </c>
      <c r="I479" s="52">
        <f>F479/F511</f>
        <v>7.023467307677386E-4</v>
      </c>
    </row>
    <row r="480" spans="1:17" s="17" customFormat="1" ht="16.5" customHeight="1" x14ac:dyDescent="0.2">
      <c r="A480" s="182">
        <v>16919</v>
      </c>
      <c r="B480" s="638" t="s">
        <v>65</v>
      </c>
      <c r="C480" s="639"/>
      <c r="D480" s="417">
        <f>254973.12+18539.3</f>
        <v>273512.42</v>
      </c>
      <c r="E480" s="477">
        <f>233408.61+54000</f>
        <v>287408.61</v>
      </c>
      <c r="F480" s="417">
        <f>233408.61+53458</f>
        <v>286866.61</v>
      </c>
      <c r="G480" s="170">
        <f t="shared" si="16"/>
        <v>1.0488248029102298</v>
      </c>
      <c r="H480" s="170">
        <f t="shared" si="17"/>
        <v>0.99811418314851463</v>
      </c>
      <c r="I480" s="52">
        <f>F480/F511</f>
        <v>6.7543951780497337E-3</v>
      </c>
    </row>
    <row r="481" spans="1:9" s="17" customFormat="1" ht="16.5" customHeight="1" x14ac:dyDescent="0.2">
      <c r="A481" s="182">
        <v>17519</v>
      </c>
      <c r="B481" s="638" t="s">
        <v>25</v>
      </c>
      <c r="C481" s="639"/>
      <c r="D481" s="417">
        <f>234787.76+54111.36+799378.49</f>
        <v>1088277.6099999999</v>
      </c>
      <c r="E481" s="546">
        <f>238108.2+51899.65+1161193.29</f>
        <v>1451201.1400000001</v>
      </c>
      <c r="F481" s="417">
        <f>237211.2+50973.08+998623.5</f>
        <v>1286807.78</v>
      </c>
      <c r="G481" s="170">
        <f t="shared" si="16"/>
        <v>1.1824260355774481</v>
      </c>
      <c r="H481" s="170">
        <f t="shared" si="17"/>
        <v>0.88671910773168217</v>
      </c>
      <c r="I481" s="52">
        <f>F481/F511</f>
        <v>3.0298431261515182E-2</v>
      </c>
    </row>
    <row r="482" spans="1:9" s="17" customFormat="1" ht="16.5" customHeight="1" x14ac:dyDescent="0.2">
      <c r="A482" s="182">
        <v>180</v>
      </c>
      <c r="B482" s="638" t="s">
        <v>169</v>
      </c>
      <c r="C482" s="639"/>
      <c r="D482" s="185">
        <f>D483+D484</f>
        <v>10083020.869999999</v>
      </c>
      <c r="E482" s="414">
        <f>E483+E484</f>
        <v>9525796.4100000001</v>
      </c>
      <c r="F482" s="414">
        <f>F483+F484</f>
        <v>9187330.5500000007</v>
      </c>
      <c r="G482" s="170">
        <f t="shared" si="16"/>
        <v>0.91116845521316481</v>
      </c>
      <c r="H482" s="170">
        <f t="shared" si="17"/>
        <v>0.9644684973904456</v>
      </c>
      <c r="I482" s="52">
        <f>F482/F511</f>
        <v>0.21631956806011343</v>
      </c>
    </row>
    <row r="483" spans="1:9" s="17" customFormat="1" ht="16.5" customHeight="1" x14ac:dyDescent="0.2">
      <c r="A483" s="178">
        <v>18019</v>
      </c>
      <c r="B483" s="648" t="s">
        <v>170</v>
      </c>
      <c r="C483" s="649"/>
      <c r="D483" s="167">
        <f>89487.16+668167.69+335557.62+8544997.79</f>
        <v>9638210.2599999998</v>
      </c>
      <c r="E483" s="496">
        <f>124151.12+682000+401053.18+7786993.03</f>
        <v>8994197.3300000001</v>
      </c>
      <c r="F483" s="167">
        <f>124151.12+681716.8+400365.49+7455016.69</f>
        <v>8661250.1000000015</v>
      </c>
      <c r="G483" s="165">
        <f t="shared" si="16"/>
        <v>0.89863676619978627</v>
      </c>
      <c r="H483" s="165">
        <f t="shared" si="17"/>
        <v>0.96298199630449977</v>
      </c>
      <c r="I483" s="81">
        <f>F483/F482</f>
        <v>0.94273848675228089</v>
      </c>
    </row>
    <row r="484" spans="1:9" s="17" customFormat="1" ht="16.5" customHeight="1" x14ac:dyDescent="0.2">
      <c r="A484" s="178">
        <v>18295</v>
      </c>
      <c r="B484" s="648" t="s">
        <v>171</v>
      </c>
      <c r="C484" s="649"/>
      <c r="D484" s="167">
        <f>334329.51+45495+34051.1+30935</f>
        <v>444810.61</v>
      </c>
      <c r="E484" s="496">
        <f>350599.08+46500+34500+100000</f>
        <v>531599.08000000007</v>
      </c>
      <c r="F484" s="167">
        <f>350599.08+46291.02+34135.35+95055</f>
        <v>526080.44999999995</v>
      </c>
      <c r="G484" s="165">
        <f t="shared" si="16"/>
        <v>1.1827066130459432</v>
      </c>
      <c r="H484" s="165">
        <f t="shared" si="17"/>
        <v>0.98961881198139001</v>
      </c>
      <c r="I484" s="81">
        <f>F484/F482</f>
        <v>5.7261513247719158E-2</v>
      </c>
    </row>
    <row r="485" spans="1:9" s="17" customFormat="1" ht="16.5" customHeight="1" x14ac:dyDescent="0.2">
      <c r="A485" s="182">
        <v>19595</v>
      </c>
      <c r="B485" s="638" t="s">
        <v>172</v>
      </c>
      <c r="C485" s="639"/>
      <c r="D485" s="414">
        <f>61501.06+8955.72+200000</f>
        <v>270456.78000000003</v>
      </c>
      <c r="E485" s="477">
        <f>47732.37+13500+410000</f>
        <v>471232.37</v>
      </c>
      <c r="F485" s="414">
        <f>47732.37+13338.9+409391.93</f>
        <v>470463.2</v>
      </c>
      <c r="G485" s="170">
        <f t="shared" si="16"/>
        <v>1.7395134261378102</v>
      </c>
      <c r="H485" s="170">
        <f t="shared" si="17"/>
        <v>0.99836774795415695</v>
      </c>
      <c r="I485" s="52">
        <f>F485/F511</f>
        <v>1.1077254231609067E-2</v>
      </c>
    </row>
    <row r="486" spans="1:9" s="17" customFormat="1" ht="16.5" customHeight="1" x14ac:dyDescent="0.2">
      <c r="A486" s="182">
        <v>47019</v>
      </c>
      <c r="B486" s="638" t="s">
        <v>70</v>
      </c>
      <c r="C486" s="639"/>
      <c r="D486" s="414">
        <f>143982.79+15971.95+278549.11+1084008.12</f>
        <v>1522511.9700000002</v>
      </c>
      <c r="E486" s="477">
        <f>148724.05+69000+245418.31+542500.26</f>
        <v>1005642.62</v>
      </c>
      <c r="F486" s="414">
        <f>148724.05+51033.48+240222.18+532762.79</f>
        <v>972742.5</v>
      </c>
      <c r="G486" s="170">
        <f t="shared" si="16"/>
        <v>0.63890630692381345</v>
      </c>
      <c r="H486" s="170">
        <f t="shared" si="17"/>
        <v>0.96728448124046296</v>
      </c>
      <c r="I486" s="52">
        <f>F486/F511</f>
        <v>2.2903631940587452E-2</v>
      </c>
    </row>
    <row r="487" spans="1:9" s="17" customFormat="1" ht="16.5" customHeight="1" x14ac:dyDescent="0.2">
      <c r="A487" s="182">
        <v>48019</v>
      </c>
      <c r="B487" s="638" t="s">
        <v>71</v>
      </c>
      <c r="C487" s="639"/>
      <c r="D487" s="414">
        <f>74257.25+141766.19+271784</f>
        <v>487807.44</v>
      </c>
      <c r="E487" s="477">
        <f>87154.17+285698.76+100000+205990</f>
        <v>678842.92999999993</v>
      </c>
      <c r="F487" s="414">
        <f>87154.15+274485.89+99492.14+205590</f>
        <v>666722.18000000005</v>
      </c>
      <c r="G487" s="170">
        <f t="shared" si="16"/>
        <v>1.3667732907066774</v>
      </c>
      <c r="H487" s="170">
        <f t="shared" si="17"/>
        <v>0.98214498602791678</v>
      </c>
      <c r="I487" s="52">
        <f>F487/F511</f>
        <v>1.5698254591884387E-2</v>
      </c>
    </row>
    <row r="488" spans="1:9" s="17" customFormat="1" ht="16.5" customHeight="1" x14ac:dyDescent="0.2">
      <c r="A488" s="182">
        <v>650</v>
      </c>
      <c r="B488" s="638" t="s">
        <v>31</v>
      </c>
      <c r="C488" s="639"/>
      <c r="D488" s="185">
        <f>D489+D490</f>
        <v>176186.19</v>
      </c>
      <c r="E488" s="414">
        <f>E489+E490</f>
        <v>186624.64000000001</v>
      </c>
      <c r="F488" s="414">
        <f>F489+F490</f>
        <v>186265.13</v>
      </c>
      <c r="G488" s="170">
        <f t="shared" si="16"/>
        <v>1.0572061862510336</v>
      </c>
      <c r="H488" s="170">
        <f t="shared" si="17"/>
        <v>0.99807361986069998</v>
      </c>
      <c r="I488" s="52">
        <f>F488/F511</f>
        <v>4.3856909520100891E-3</v>
      </c>
    </row>
    <row r="489" spans="1:9" s="17" customFormat="1" ht="16.5" customHeight="1" x14ac:dyDescent="0.2">
      <c r="A489" s="178">
        <v>65095</v>
      </c>
      <c r="B489" s="648" t="s">
        <v>173</v>
      </c>
      <c r="C489" s="649"/>
      <c r="D489" s="6">
        <f>127701.71+4098.64</f>
        <v>131800.35</v>
      </c>
      <c r="E489" s="463">
        <f>133726.72+6000</f>
        <v>139726.72</v>
      </c>
      <c r="F489" s="6">
        <f>133726.72+5676.13</f>
        <v>139402.85</v>
      </c>
      <c r="G489" s="165">
        <f t="shared" si="16"/>
        <v>1.0576819409053162</v>
      </c>
      <c r="H489" s="165">
        <f t="shared" si="17"/>
        <v>0.99768211835216636</v>
      </c>
      <c r="I489" s="81">
        <f>F489/F488</f>
        <v>0.74841088076979301</v>
      </c>
    </row>
    <row r="490" spans="1:9" s="17" customFormat="1" ht="16.5" customHeight="1" x14ac:dyDescent="0.2">
      <c r="A490" s="178">
        <v>65495</v>
      </c>
      <c r="B490" s="648" t="s">
        <v>174</v>
      </c>
      <c r="C490" s="649"/>
      <c r="D490" s="6">
        <f>40391.48+3994.36</f>
        <v>44385.840000000004</v>
      </c>
      <c r="E490" s="463">
        <f>42897.92+4000</f>
        <v>46897.919999999998</v>
      </c>
      <c r="F490" s="6">
        <f>42897.92+3964.36</f>
        <v>46862.28</v>
      </c>
      <c r="G490" s="165">
        <f t="shared" si="16"/>
        <v>1.0557934692685775</v>
      </c>
      <c r="H490" s="165">
        <f t="shared" si="17"/>
        <v>0.99924005158437734</v>
      </c>
      <c r="I490" s="81">
        <f>F490/F488</f>
        <v>0.25158911923020694</v>
      </c>
    </row>
    <row r="491" spans="1:9" s="17" customFormat="1" ht="16.5" customHeight="1" x14ac:dyDescent="0.2">
      <c r="A491" s="182">
        <v>66100</v>
      </c>
      <c r="B491" s="638" t="s">
        <v>73</v>
      </c>
      <c r="C491" s="639"/>
      <c r="D491" s="417">
        <f>111611.17+18801.08+229991</f>
        <v>360403.25</v>
      </c>
      <c r="E491" s="546">
        <f>108550.14+16000+180000</f>
        <v>304550.14</v>
      </c>
      <c r="F491" s="417">
        <f>108550.14+15616.52+170675.53</f>
        <v>294842.19</v>
      </c>
      <c r="G491" s="170">
        <f t="shared" si="16"/>
        <v>0.8180897092354189</v>
      </c>
      <c r="H491" s="170">
        <f t="shared" si="17"/>
        <v>0.96812363967391379</v>
      </c>
      <c r="I491" s="52">
        <f>F491/F511</f>
        <v>6.9421835689473365E-3</v>
      </c>
    </row>
    <row r="492" spans="1:9" s="17" customFormat="1" ht="16.5" customHeight="1" x14ac:dyDescent="0.2">
      <c r="A492" s="182">
        <v>730</v>
      </c>
      <c r="B492" s="638" t="s">
        <v>74</v>
      </c>
      <c r="C492" s="639"/>
      <c r="D492" s="414">
        <f>D493+D494</f>
        <v>4664677.1999999993</v>
      </c>
      <c r="E492" s="414">
        <f>E493+E494</f>
        <v>4740965.05</v>
      </c>
      <c r="F492" s="414">
        <f>F493+F494</f>
        <v>4724890.59</v>
      </c>
      <c r="G492" s="170">
        <f t="shared" si="16"/>
        <v>1.0129083723092351</v>
      </c>
      <c r="H492" s="170">
        <f t="shared" si="17"/>
        <v>0.99660945401822776</v>
      </c>
      <c r="I492" s="140">
        <f>F492/F511</f>
        <v>0.1112495393517864</v>
      </c>
    </row>
    <row r="493" spans="1:9" s="17" customFormat="1" ht="16.5" customHeight="1" x14ac:dyDescent="0.2">
      <c r="A493" s="178">
        <v>73028</v>
      </c>
      <c r="B493" s="648" t="s">
        <v>175</v>
      </c>
      <c r="C493" s="649"/>
      <c r="D493" s="167">
        <f>32367.73+4974.16+40000</f>
        <v>77341.89</v>
      </c>
      <c r="E493" s="496">
        <f>33228.87+5000</f>
        <v>38228.870000000003</v>
      </c>
      <c r="F493" s="167">
        <f>33228.87+4830.44</f>
        <v>38059.310000000005</v>
      </c>
      <c r="G493" s="165">
        <f t="shared" si="16"/>
        <v>0.49209180173900591</v>
      </c>
      <c r="H493" s="165">
        <f t="shared" si="17"/>
        <v>0.99556460863216734</v>
      </c>
      <c r="I493" s="81">
        <f>F493/F492</f>
        <v>8.0550669428305233E-3</v>
      </c>
    </row>
    <row r="494" spans="1:9" s="17" customFormat="1" ht="16.5" customHeight="1" x14ac:dyDescent="0.2">
      <c r="A494" s="178">
        <v>74100</v>
      </c>
      <c r="B494" s="648" t="s">
        <v>176</v>
      </c>
      <c r="C494" s="649"/>
      <c r="D494" s="167">
        <f>3083189.32+632442.29+157983.53+713720.17</f>
        <v>4587335.3099999996</v>
      </c>
      <c r="E494" s="496">
        <f>3319061.73+620793.69+171000+60000+531880.76</f>
        <v>4702736.18</v>
      </c>
      <c r="F494" s="167">
        <f>3319061.73+619318.76+170783.74+60000+517667.05</f>
        <v>4686831.28</v>
      </c>
      <c r="G494" s="165">
        <f t="shared" si="16"/>
        <v>1.0216892734618959</v>
      </c>
      <c r="H494" s="165">
        <f t="shared" si="17"/>
        <v>0.99661794763915512</v>
      </c>
      <c r="I494" s="81">
        <f>F494/F492</f>
        <v>0.99194493305716958</v>
      </c>
    </row>
    <row r="495" spans="1:9" s="17" customFormat="1" ht="16.5" customHeight="1" x14ac:dyDescent="0.2">
      <c r="A495" s="182">
        <v>75591</v>
      </c>
      <c r="B495" s="638" t="s">
        <v>177</v>
      </c>
      <c r="C495" s="639"/>
      <c r="D495" s="471">
        <f>130232.88+17122.42+17470.86+59989.2+40246.4</f>
        <v>265061.76000000001</v>
      </c>
      <c r="E495" s="553">
        <f>134216.07+23700+24600+80010.8+12000</f>
        <v>274526.87</v>
      </c>
      <c r="F495" s="471">
        <f>134216.07+23518.04+24540.71+79836.61+11850</f>
        <v>273961.43</v>
      </c>
      <c r="G495" s="170">
        <f t="shared" si="16"/>
        <v>1.0335758353072129</v>
      </c>
      <c r="H495" s="170">
        <f t="shared" si="17"/>
        <v>0.99794031090654256</v>
      </c>
      <c r="I495" s="52">
        <f>F495/F511</f>
        <v>6.4505372785058869E-3</v>
      </c>
    </row>
    <row r="496" spans="1:9" s="17" customFormat="1" ht="16.5" customHeight="1" x14ac:dyDescent="0.2">
      <c r="A496" s="182">
        <v>75592</v>
      </c>
      <c r="B496" s="104" t="s">
        <v>543</v>
      </c>
      <c r="C496" s="105"/>
      <c r="D496" s="471">
        <v>198022.2</v>
      </c>
      <c r="E496" s="553">
        <f>45000+5000+614274.77</f>
        <v>664274.77</v>
      </c>
      <c r="F496" s="471">
        <f>44829.31+5000+571427.58</f>
        <v>621256.8899999999</v>
      </c>
      <c r="G496" s="170">
        <f>E496/D496</f>
        <v>3.3545469649362545</v>
      </c>
      <c r="H496" s="170">
        <f>F496/E496</f>
        <v>0.93524083415060288</v>
      </c>
      <c r="I496" s="52">
        <f>F496/F511</f>
        <v>1.462775518609912E-2</v>
      </c>
    </row>
    <row r="497" spans="1:13" s="17" customFormat="1" ht="16.5" customHeight="1" x14ac:dyDescent="0.2">
      <c r="A497" s="182">
        <v>850</v>
      </c>
      <c r="B497" s="638" t="s">
        <v>40</v>
      </c>
      <c r="C497" s="639"/>
      <c r="D497" s="185">
        <f>D498+D499</f>
        <v>1881408.18</v>
      </c>
      <c r="E497" s="414">
        <f>E498+E499</f>
        <v>2214660.4500000002</v>
      </c>
      <c r="F497" s="414">
        <f>F498+F499</f>
        <v>2174635.94</v>
      </c>
      <c r="G497" s="170">
        <f>F497/D497</f>
        <v>1.1558554720432863</v>
      </c>
      <c r="H497" s="170">
        <f>F497/E497</f>
        <v>0.98192747335150166</v>
      </c>
      <c r="I497" s="52">
        <f>F497/F511</f>
        <v>5.1202719295736963E-2</v>
      </c>
    </row>
    <row r="498" spans="1:13" s="17" customFormat="1" ht="16.5" customHeight="1" x14ac:dyDescent="0.2">
      <c r="A498" s="216">
        <v>85019</v>
      </c>
      <c r="B498" s="389" t="s">
        <v>377</v>
      </c>
      <c r="C498" s="373"/>
      <c r="D498" s="6">
        <f>242352.2+201791.42+65993.73+216343.17+917150.34</f>
        <v>1643630.8599999999</v>
      </c>
      <c r="E498" s="463">
        <f>233538.79+85722.12+76500+314673.83+1293764.47</f>
        <v>2004199.21</v>
      </c>
      <c r="F498" s="6">
        <f>233538.79+71251.4+76499.6+309941.13+1273319.38</f>
        <v>1964550.2999999998</v>
      </c>
      <c r="G498" s="165">
        <f>F498/D498</f>
        <v>1.1952503130782053</v>
      </c>
      <c r="H498" s="165">
        <f>F498/E498</f>
        <v>0.98021708131498553</v>
      </c>
      <c r="I498" s="81">
        <f>F498/F497</f>
        <v>0.90339273064713532</v>
      </c>
    </row>
    <row r="499" spans="1:13" s="17" customFormat="1" ht="16.5" customHeight="1" x14ac:dyDescent="0.2">
      <c r="A499" s="216">
        <v>85184</v>
      </c>
      <c r="B499" s="648" t="s">
        <v>378</v>
      </c>
      <c r="C499" s="649"/>
      <c r="D499" s="6">
        <f>148658.35+17150+3468.97+68500</f>
        <v>237777.32</v>
      </c>
      <c r="E499" s="463">
        <f>147961.24+17000+5500+40000</f>
        <v>210461.24</v>
      </c>
      <c r="F499" s="6">
        <f>147961.24+16978.58+5500+39645.82</f>
        <v>210085.64</v>
      </c>
      <c r="G499" s="165">
        <f>F499/D499</f>
        <v>0.88353943933761225</v>
      </c>
      <c r="H499" s="165">
        <f>F499/E499</f>
        <v>0.99821534834632741</v>
      </c>
      <c r="I499" s="81">
        <f>F499/F497</f>
        <v>9.660726935286465E-2</v>
      </c>
    </row>
    <row r="500" spans="1:13" s="17" customFormat="1" ht="16.5" customHeight="1" x14ac:dyDescent="0.2">
      <c r="I500" s="257"/>
    </row>
    <row r="501" spans="1:13" s="17" customFormat="1" ht="16.5" customHeight="1" x14ac:dyDescent="0.2">
      <c r="I501" s="257"/>
      <c r="K501" s="495"/>
      <c r="L501" s="495"/>
      <c r="M501" s="495"/>
    </row>
    <row r="502" spans="1:13" s="17" customFormat="1" ht="16.5" customHeight="1" x14ac:dyDescent="0.2">
      <c r="I502" s="224"/>
      <c r="K502" s="495"/>
      <c r="L502" s="495"/>
      <c r="M502" s="495"/>
    </row>
    <row r="503" spans="1:13" s="17" customFormat="1" ht="16.5" customHeight="1" x14ac:dyDescent="0.2">
      <c r="I503" s="224"/>
      <c r="K503" s="495"/>
      <c r="L503" s="495"/>
      <c r="M503" s="495"/>
    </row>
    <row r="504" spans="1:13" s="17" customFormat="1" ht="16.5" customHeight="1" x14ac:dyDescent="0.2">
      <c r="I504" s="257"/>
      <c r="K504" s="495"/>
      <c r="L504" s="495"/>
      <c r="M504" s="495"/>
    </row>
    <row r="505" spans="1:13" s="17" customFormat="1" ht="16.5" customHeight="1" x14ac:dyDescent="0.2">
      <c r="I505" s="224"/>
      <c r="K505" s="495"/>
      <c r="L505" s="495"/>
      <c r="M505" s="495"/>
    </row>
    <row r="506" spans="1:13" s="17" customFormat="1" ht="16.5" customHeight="1" x14ac:dyDescent="0.2">
      <c r="A506" s="182">
        <v>920</v>
      </c>
      <c r="B506" s="638" t="s">
        <v>78</v>
      </c>
      <c r="C506" s="639"/>
      <c r="D506" s="185">
        <f>D507+D508+D509+D510</f>
        <v>16498600.140000001</v>
      </c>
      <c r="E506" s="414">
        <f>E507+E508+E509+E510</f>
        <v>17323257.09</v>
      </c>
      <c r="F506" s="414">
        <f>F507+F508+F509+F510</f>
        <v>17258697.359999999</v>
      </c>
      <c r="G506" s="170">
        <f t="shared" si="16"/>
        <v>1.0460704067951305</v>
      </c>
      <c r="H506" s="170">
        <f t="shared" si="17"/>
        <v>0.99627323374209642</v>
      </c>
      <c r="I506" s="52">
        <f>F506/F511</f>
        <v>0.40636329975037411</v>
      </c>
      <c r="K506" s="495"/>
      <c r="L506" s="495"/>
      <c r="M506" s="495"/>
    </row>
    <row r="507" spans="1:13" s="17" customFormat="1" ht="16.5" customHeight="1" x14ac:dyDescent="0.2">
      <c r="A507" s="178">
        <v>92095</v>
      </c>
      <c r="B507" s="648" t="s">
        <v>178</v>
      </c>
      <c r="C507" s="649"/>
      <c r="D507" s="6">
        <f>98201.94+1100977.9+179238.43+685850.18</f>
        <v>2064268.4499999997</v>
      </c>
      <c r="E507" s="463">
        <f>109502.03+634094.65+128000+72143.77</f>
        <v>943740.45000000007</v>
      </c>
      <c r="F507" s="6">
        <f>109502.03+629735.77+127996.53+69590</f>
        <v>936824.33000000007</v>
      </c>
      <c r="G507" s="165">
        <f t="shared" si="16"/>
        <v>0.45382873046381161</v>
      </c>
      <c r="H507" s="165">
        <f t="shared" si="17"/>
        <v>0.99267158676943434</v>
      </c>
      <c r="I507" s="81">
        <f>F507/F506</f>
        <v>5.4281288469154781E-2</v>
      </c>
      <c r="K507" s="495"/>
      <c r="L507" s="495"/>
    </row>
    <row r="508" spans="1:13" s="17" customFormat="1" ht="16.5" customHeight="1" x14ac:dyDescent="0.2">
      <c r="A508" s="178">
        <v>92570</v>
      </c>
      <c r="B508" s="648" t="s">
        <v>179</v>
      </c>
      <c r="C508" s="649"/>
      <c r="D508" s="6">
        <f>471417.5+114752.82</f>
        <v>586170.32000000007</v>
      </c>
      <c r="E508" s="463">
        <f>516886.17+130236.32</f>
        <v>647122.49</v>
      </c>
      <c r="F508" s="6">
        <f>514296.45+129730.92</f>
        <v>644027.37</v>
      </c>
      <c r="G508" s="165">
        <f t="shared" si="16"/>
        <v>1.0987034792208517</v>
      </c>
      <c r="H508" s="165">
        <f t="shared" si="17"/>
        <v>0.99521710333386804</v>
      </c>
      <c r="I508" s="81">
        <f>F508/F506</f>
        <v>3.7316105414342812E-2</v>
      </c>
      <c r="K508" s="495"/>
    </row>
    <row r="509" spans="1:13" s="17" customFormat="1" ht="16.5" customHeight="1" x14ac:dyDescent="0.2">
      <c r="A509" s="178">
        <v>93540</v>
      </c>
      <c r="B509" s="648" t="s">
        <v>180</v>
      </c>
      <c r="C509" s="649"/>
      <c r="D509" s="6">
        <f>8813727.92+223176.05+467800.4</f>
        <v>9504704.370000001</v>
      </c>
      <c r="E509" s="463">
        <f>10895796.9+90005+761636.4</f>
        <v>11747438.300000001</v>
      </c>
      <c r="F509" s="6">
        <f>10890218.4+89992.35+724138.28</f>
        <v>11704349.029999999</v>
      </c>
      <c r="G509" s="165">
        <f t="shared" si="16"/>
        <v>1.2314269412674008</v>
      </c>
      <c r="H509" s="165">
        <f t="shared" si="17"/>
        <v>0.99633202840486501</v>
      </c>
      <c r="I509" s="81">
        <f>F509/F506</f>
        <v>0.67817105693775259</v>
      </c>
      <c r="K509" s="495"/>
    </row>
    <row r="510" spans="1:13" s="17" customFormat="1" ht="16.5" customHeight="1" x14ac:dyDescent="0.2">
      <c r="A510" s="178">
        <v>94740</v>
      </c>
      <c r="B510" s="648" t="s">
        <v>181</v>
      </c>
      <c r="C510" s="649"/>
      <c r="D510" s="6">
        <f>4070414.92+63099.04+209943.04</f>
        <v>4343457</v>
      </c>
      <c r="E510" s="463">
        <f>3364509.23+83766.62+536680</f>
        <v>3984955.85</v>
      </c>
      <c r="F510" s="6">
        <f>3363896.18+72921.09+536679.36</f>
        <v>3973496.63</v>
      </c>
      <c r="G510" s="165">
        <f t="shared" si="16"/>
        <v>0.91482352190893101</v>
      </c>
      <c r="H510" s="165">
        <f t="shared" si="17"/>
        <v>0.99712437968415635</v>
      </c>
      <c r="I510" s="81">
        <f>F510/F506</f>
        <v>0.23023154917874983</v>
      </c>
      <c r="K510" s="495"/>
    </row>
    <row r="511" spans="1:13" s="17" customFormat="1" ht="16.5" customHeight="1" x14ac:dyDescent="0.2">
      <c r="A511" s="182"/>
      <c r="B511" s="183" t="s">
        <v>83</v>
      </c>
      <c r="C511" s="184"/>
      <c r="D511" s="414">
        <f>D473+D474+D478+D479+D480+D481+D482+D485+D486+D487+D488+D491+D492+D495+D496+D497+D506</f>
        <v>40240827.539999999</v>
      </c>
      <c r="E511" s="414">
        <f>E473+E474+E478+E479+E480+E481+E482+E485+E486+E487+E488+E491+E492+E495+E496+E497+E506</f>
        <v>43223813.68</v>
      </c>
      <c r="F511" s="414">
        <f>F473+F474+F478+F479+F480+F481+F482+F485+F486+F487+F488+F491+F492+F495+F496+F497+F506</f>
        <v>42471102.510000005</v>
      </c>
      <c r="G511" s="170">
        <f t="shared" si="16"/>
        <v>1.0554231884963867</v>
      </c>
      <c r="H511" s="170">
        <f t="shared" si="17"/>
        <v>0.98258572981152104</v>
      </c>
      <c r="I511" s="52">
        <f>I473+I474+I478+I479+I480+I481+I482+I485+I486+I487+I488+I491+I492+I495+I496+I497+I506</f>
        <v>0.99999999999999989</v>
      </c>
      <c r="K511" s="495"/>
    </row>
    <row r="512" spans="1:13" s="17" customFormat="1" ht="16.5" customHeight="1" x14ac:dyDescent="0.2">
      <c r="A512" s="143"/>
      <c r="B512" s="186"/>
      <c r="C512" s="187"/>
      <c r="D512" s="187"/>
      <c r="E512" s="187"/>
      <c r="F512" s="188"/>
      <c r="G512" s="188"/>
      <c r="H512" s="189"/>
      <c r="I512" s="23"/>
      <c r="K512" s="495"/>
      <c r="L512" s="495"/>
    </row>
    <row r="513" spans="1:16" s="17" customFormat="1" ht="16.5" customHeight="1" x14ac:dyDescent="0.2">
      <c r="A513" s="621" t="s">
        <v>1036</v>
      </c>
      <c r="B513" s="621"/>
      <c r="C513" s="621"/>
      <c r="D513" s="621"/>
      <c r="E513" s="621"/>
      <c r="F513" s="621"/>
      <c r="G513" s="621"/>
      <c r="H513" s="621"/>
      <c r="I513" s="621"/>
      <c r="K513" s="495"/>
      <c r="L513" s="495"/>
      <c r="M513" s="495"/>
    </row>
    <row r="514" spans="1:16" s="17" customFormat="1" ht="18" customHeight="1" x14ac:dyDescent="0.2">
      <c r="A514" s="145" t="s">
        <v>1037</v>
      </c>
      <c r="B514" s="23"/>
      <c r="C514" s="23"/>
      <c r="D514" s="23"/>
      <c r="E514" s="23"/>
      <c r="F514" s="145"/>
      <c r="G514" s="145"/>
      <c r="H514" s="145"/>
      <c r="I514" s="145"/>
      <c r="K514" s="495"/>
      <c r="L514" s="495"/>
      <c r="M514" s="495"/>
      <c r="O514" s="465"/>
    </row>
    <row r="515" spans="1:16" s="17" customFormat="1" ht="16.5" customHeight="1" x14ac:dyDescent="0.2">
      <c r="A515" s="145"/>
      <c r="B515" s="145"/>
      <c r="C515" s="145"/>
      <c r="D515" s="145"/>
      <c r="E515" s="190"/>
      <c r="F515" s="23"/>
      <c r="G515" s="145"/>
      <c r="H515" s="145"/>
      <c r="I515" s="41"/>
      <c r="K515" s="495"/>
      <c r="L515" s="495"/>
      <c r="M515" s="495"/>
    </row>
    <row r="516" spans="1:16" s="17" customFormat="1" ht="16.5" customHeight="1" x14ac:dyDescent="0.2">
      <c r="A516" s="145"/>
      <c r="B516" s="145" t="s">
        <v>182</v>
      </c>
      <c r="C516" s="145"/>
      <c r="D516" s="145"/>
      <c r="E516" s="145"/>
      <c r="F516" s="145"/>
      <c r="G516" s="145"/>
      <c r="H516" s="145"/>
      <c r="I516" s="145"/>
      <c r="K516" s="495"/>
      <c r="L516" s="495"/>
      <c r="M516" s="495"/>
      <c r="N516" s="495"/>
      <c r="O516" s="495"/>
      <c r="P516" s="495"/>
    </row>
    <row r="517" spans="1:16" s="17" customFormat="1" ht="16.5" customHeight="1" x14ac:dyDescent="0.2">
      <c r="A517" s="156"/>
      <c r="B517" s="191"/>
      <c r="C517" s="15"/>
      <c r="D517" s="605" t="s">
        <v>84</v>
      </c>
      <c r="E517" s="605"/>
      <c r="F517" s="605"/>
      <c r="G517" s="156"/>
      <c r="H517" s="156"/>
      <c r="I517" s="15"/>
      <c r="M517" s="495"/>
      <c r="N517" s="495"/>
      <c r="O517" s="495"/>
      <c r="P517" s="495"/>
    </row>
    <row r="518" spans="1:16" s="17" customFormat="1" ht="16.5" customHeight="1" x14ac:dyDescent="0.2">
      <c r="A518" s="156"/>
      <c r="B518" s="191"/>
      <c r="C518" s="15"/>
      <c r="D518" s="144"/>
      <c r="E518" s="144"/>
      <c r="F518" s="144"/>
      <c r="G518" s="156"/>
      <c r="H518" s="156"/>
      <c r="I518" s="15"/>
      <c r="L518" s="495"/>
      <c r="M518" s="495"/>
      <c r="N518" s="495"/>
      <c r="O518" s="495"/>
    </row>
    <row r="519" spans="1:16" s="17" customFormat="1" ht="16.5" customHeight="1" x14ac:dyDescent="0.2">
      <c r="A519" s="192" t="s">
        <v>48</v>
      </c>
      <c r="B519" s="615" t="s">
        <v>49</v>
      </c>
      <c r="C519" s="616"/>
      <c r="D519" s="411" t="s">
        <v>85</v>
      </c>
      <c r="E519" s="409" t="s">
        <v>152</v>
      </c>
      <c r="F519" s="42" t="s">
        <v>86</v>
      </c>
      <c r="G519" s="619" t="s">
        <v>52</v>
      </c>
      <c r="H519" s="620"/>
      <c r="I519" s="161" t="s">
        <v>53</v>
      </c>
      <c r="L519" s="495"/>
      <c r="M519" s="495"/>
      <c r="N519" s="495"/>
      <c r="O519" s="495"/>
    </row>
    <row r="520" spans="1:16" s="17" customFormat="1" ht="16.5" customHeight="1" x14ac:dyDescent="0.2">
      <c r="A520" s="193" t="s">
        <v>183</v>
      </c>
      <c r="B520" s="617"/>
      <c r="C520" s="618"/>
      <c r="D520" s="412" t="s">
        <v>537</v>
      </c>
      <c r="E520" s="44" t="s">
        <v>571</v>
      </c>
      <c r="F520" s="44" t="s">
        <v>571</v>
      </c>
      <c r="G520" s="29" t="s">
        <v>55</v>
      </c>
      <c r="H520" s="29" t="s">
        <v>56</v>
      </c>
      <c r="I520" s="162"/>
      <c r="L520" s="495"/>
      <c r="M520" s="495"/>
      <c r="N520" s="495"/>
      <c r="O520" s="495"/>
    </row>
    <row r="521" spans="1:16" s="17" customFormat="1" ht="16.5" customHeight="1" x14ac:dyDescent="0.2">
      <c r="A521" s="194">
        <v>1</v>
      </c>
      <c r="B521" s="195">
        <v>2</v>
      </c>
      <c r="C521" s="196"/>
      <c r="D521" s="197">
        <v>3</v>
      </c>
      <c r="E521" s="197">
        <v>4</v>
      </c>
      <c r="F521" s="197">
        <v>5</v>
      </c>
      <c r="G521" s="197">
        <v>6</v>
      </c>
      <c r="H521" s="197">
        <v>7</v>
      </c>
      <c r="I521" s="194">
        <v>8</v>
      </c>
      <c r="K521" s="495"/>
      <c r="L521" s="495"/>
      <c r="M521" s="495"/>
    </row>
    <row r="522" spans="1:16" s="17" customFormat="1" ht="16.5" customHeight="1" x14ac:dyDescent="0.2">
      <c r="A522" s="86">
        <v>111</v>
      </c>
      <c r="B522" s="601" t="s">
        <v>184</v>
      </c>
      <c r="C522" s="602"/>
      <c r="D522" s="167">
        <v>19291104.739999998</v>
      </c>
      <c r="E522" s="463">
        <v>21118481.370000001</v>
      </c>
      <c r="F522" s="167">
        <v>21108803.079999998</v>
      </c>
      <c r="G522" s="198">
        <f t="shared" ref="G522:G528" si="18">F522/D522</f>
        <v>1.0942246887619149</v>
      </c>
      <c r="H522" s="198">
        <f t="shared" ref="H522:H528" si="19">F522/E522</f>
        <v>0.99954171467964781</v>
      </c>
      <c r="I522" s="166">
        <f>F522/F528</f>
        <v>0.49701566082561288</v>
      </c>
      <c r="K522" s="495"/>
      <c r="L522" s="495"/>
      <c r="M522" s="495"/>
    </row>
    <row r="523" spans="1:16" s="17" customFormat="1" ht="16.5" customHeight="1" x14ac:dyDescent="0.2">
      <c r="A523" s="86">
        <v>130</v>
      </c>
      <c r="B523" s="601" t="s">
        <v>185</v>
      </c>
      <c r="C523" s="602"/>
      <c r="D523" s="167">
        <v>4488837.2699999996</v>
      </c>
      <c r="E523" s="463">
        <v>5472375.3300000001</v>
      </c>
      <c r="F523" s="167">
        <v>5397297.7400000002</v>
      </c>
      <c r="G523" s="198">
        <f t="shared" si="18"/>
        <v>1.2023821349175352</v>
      </c>
      <c r="H523" s="198">
        <f t="shared" si="19"/>
        <v>0.98628062121608906</v>
      </c>
      <c r="I523" s="166">
        <f>F523/F528</f>
        <v>0.12708164895717466</v>
      </c>
      <c r="K523" s="495"/>
      <c r="L523" s="495"/>
      <c r="M523" s="495"/>
    </row>
    <row r="524" spans="1:16" s="17" customFormat="1" ht="16.5" customHeight="1" x14ac:dyDescent="0.2">
      <c r="A524" s="86">
        <v>132</v>
      </c>
      <c r="B524" s="601" t="s">
        <v>186</v>
      </c>
      <c r="C524" s="602"/>
      <c r="D524" s="167">
        <v>909564.24</v>
      </c>
      <c r="E524" s="6">
        <v>968653.18</v>
      </c>
      <c r="F524" s="167">
        <v>967274.98</v>
      </c>
      <c r="G524" s="198">
        <f t="shared" si="18"/>
        <v>1.0634487785051883</v>
      </c>
      <c r="H524" s="198">
        <f t="shared" si="19"/>
        <v>0.99857719973623571</v>
      </c>
      <c r="I524" s="166">
        <f>F524/F528</f>
        <v>2.2774896878936704E-2</v>
      </c>
      <c r="K524" s="495"/>
      <c r="L524" s="495"/>
      <c r="M524" s="495"/>
    </row>
    <row r="525" spans="1:16" s="17" customFormat="1" ht="16.5" customHeight="1" x14ac:dyDescent="0.2">
      <c r="A525" s="86">
        <v>200</v>
      </c>
      <c r="B525" s="601" t="s">
        <v>187</v>
      </c>
      <c r="C525" s="602"/>
      <c r="D525" s="167">
        <v>958326.48</v>
      </c>
      <c r="E525" s="6">
        <v>1130247.05</v>
      </c>
      <c r="F525" s="167">
        <v>1115879.58</v>
      </c>
      <c r="G525" s="198">
        <f t="shared" si="18"/>
        <v>1.1644044104885842</v>
      </c>
      <c r="H525" s="198">
        <f t="shared" si="19"/>
        <v>0.9872882039373605</v>
      </c>
      <c r="I525" s="166">
        <f>F525/F528</f>
        <v>2.6273854787199399E-2</v>
      </c>
      <c r="K525" s="495"/>
      <c r="L525" s="495"/>
      <c r="M525" s="495"/>
    </row>
    <row r="526" spans="1:16" s="17" customFormat="1" ht="16.5" customHeight="1" x14ac:dyDescent="0.2">
      <c r="A526" s="86">
        <v>300</v>
      </c>
      <c r="B526" s="601" t="s">
        <v>188</v>
      </c>
      <c r="C526" s="602"/>
      <c r="D526" s="167">
        <v>14592994.810000001</v>
      </c>
      <c r="E526" s="6">
        <v>14534056.75</v>
      </c>
      <c r="F526" s="167">
        <v>13881847.130000001</v>
      </c>
      <c r="G526" s="198">
        <f t="shared" si="18"/>
        <v>0.95126787275270741</v>
      </c>
      <c r="H526" s="198">
        <f t="shared" si="19"/>
        <v>0.95512542497812947</v>
      </c>
      <c r="I526" s="166">
        <f>F526/F528</f>
        <v>0.3268539385510762</v>
      </c>
      <c r="K526" s="495"/>
      <c r="L526" s="495"/>
      <c r="M526" s="495"/>
    </row>
    <row r="527" spans="1:16" s="17" customFormat="1" ht="16.5" customHeight="1" x14ac:dyDescent="0.2">
      <c r="A527" s="86">
        <v>38</v>
      </c>
      <c r="B527" s="490" t="s">
        <v>518</v>
      </c>
      <c r="C527" s="459"/>
      <c r="D527" s="167"/>
      <c r="E527" s="167">
        <v>0</v>
      </c>
      <c r="F527" s="167"/>
      <c r="G527" s="198"/>
      <c r="H527" s="198"/>
      <c r="I527" s="166"/>
      <c r="L527" s="495"/>
      <c r="M527" s="495"/>
      <c r="N527" s="495"/>
      <c r="O527" s="495"/>
    </row>
    <row r="528" spans="1:16" s="17" customFormat="1" ht="16.5" customHeight="1" x14ac:dyDescent="0.2">
      <c r="A528" s="168"/>
      <c r="B528" s="625" t="s">
        <v>83</v>
      </c>
      <c r="C528" s="626"/>
      <c r="D528" s="417">
        <f>D522+D523+D524+D525+D526</f>
        <v>40240827.539999999</v>
      </c>
      <c r="E528" s="417">
        <f>E522+E523+E524+E525+E526+E527</f>
        <v>43223813.680000007</v>
      </c>
      <c r="F528" s="417">
        <f>F522+F523+F524+F525+F526</f>
        <v>42471102.510000005</v>
      </c>
      <c r="G528" s="200">
        <f t="shared" si="18"/>
        <v>1.0554231884963867</v>
      </c>
      <c r="H528" s="200">
        <f t="shared" si="19"/>
        <v>0.98258572981152081</v>
      </c>
      <c r="I528" s="155">
        <f>SUM(I522:I526)</f>
        <v>0.99999999999999978</v>
      </c>
      <c r="M528" s="495"/>
      <c r="N528" s="495"/>
      <c r="O528" s="495"/>
      <c r="P528" s="495"/>
    </row>
    <row r="529" spans="1:22" s="17" customFormat="1" ht="16.5" customHeight="1" x14ac:dyDescent="0.2">
      <c r="A529" s="23"/>
      <c r="B529" s="15" t="s">
        <v>1038</v>
      </c>
      <c r="C529" s="15"/>
      <c r="D529" s="15"/>
      <c r="E529" s="15"/>
      <c r="F529" s="15"/>
      <c r="G529" s="15"/>
      <c r="H529" s="15"/>
      <c r="I529" s="23"/>
      <c r="S529" s="495"/>
      <c r="T529" s="495"/>
      <c r="U529" s="495"/>
      <c r="V529" s="495"/>
    </row>
    <row r="530" spans="1:22" s="17" customFormat="1" ht="18" customHeight="1" x14ac:dyDescent="0.2">
      <c r="A530" s="23"/>
      <c r="B530" s="15" t="s">
        <v>1039</v>
      </c>
      <c r="C530" s="15"/>
      <c r="D530" s="15"/>
      <c r="E530" s="15"/>
      <c r="F530" s="15"/>
      <c r="G530" s="15"/>
      <c r="H530" s="15"/>
      <c r="I530" s="23"/>
      <c r="S530" s="495"/>
      <c r="T530" s="495"/>
      <c r="U530" s="495"/>
      <c r="V530" s="495"/>
    </row>
    <row r="531" spans="1:22" s="17" customFormat="1" ht="16.5" customHeight="1" x14ac:dyDescent="0.2">
      <c r="A531" s="621" t="s">
        <v>1040</v>
      </c>
      <c r="B531" s="621"/>
      <c r="C531" s="621"/>
      <c r="D531" s="621"/>
      <c r="E531" s="621"/>
      <c r="F531" s="621"/>
      <c r="G531" s="621"/>
      <c r="H531" s="621"/>
      <c r="I531" s="621"/>
      <c r="S531" s="495"/>
      <c r="T531" s="495"/>
      <c r="U531" s="495"/>
      <c r="V531" s="495"/>
    </row>
    <row r="532" spans="1:22" s="17" customFormat="1" ht="16.5" customHeight="1" x14ac:dyDescent="0.2">
      <c r="A532" s="621" t="s">
        <v>634</v>
      </c>
      <c r="B532" s="621"/>
      <c r="C532" s="621"/>
      <c r="D532" s="621"/>
      <c r="E532" s="621"/>
      <c r="F532" s="621"/>
      <c r="G532" s="621"/>
      <c r="H532" s="621"/>
      <c r="I532" s="621"/>
      <c r="S532" s="495"/>
      <c r="T532" s="495"/>
      <c r="U532" s="495"/>
      <c r="V532" s="495"/>
    </row>
    <row r="533" spans="1:22" s="17" customFormat="1" ht="16.5" customHeight="1" x14ac:dyDescent="0.2">
      <c r="A533" s="621" t="s">
        <v>1041</v>
      </c>
      <c r="B533" s="621"/>
      <c r="C533" s="621"/>
      <c r="D533" s="621"/>
      <c r="E533" s="621"/>
      <c r="F533" s="621"/>
      <c r="G533" s="621"/>
      <c r="H533" s="621"/>
      <c r="I533" s="621"/>
      <c r="S533" s="495"/>
      <c r="T533" s="495"/>
      <c r="U533" s="495"/>
      <c r="V533" s="495"/>
    </row>
    <row r="534" spans="1:22" s="17" customFormat="1" ht="16.5" customHeight="1" x14ac:dyDescent="0.2">
      <c r="A534" s="621" t="s">
        <v>1042</v>
      </c>
      <c r="B534" s="621"/>
      <c r="C534" s="621"/>
      <c r="D534" s="621"/>
      <c r="E534" s="621"/>
      <c r="F534" s="621"/>
      <c r="G534" s="621"/>
      <c r="H534" s="621"/>
      <c r="I534" s="621"/>
      <c r="S534" s="495"/>
      <c r="T534" s="495"/>
      <c r="U534" s="495"/>
      <c r="V534" s="495"/>
    </row>
    <row r="535" spans="1:22" s="17" customFormat="1" ht="16.5" customHeight="1" x14ac:dyDescent="0.2">
      <c r="A535" s="621" t="s">
        <v>635</v>
      </c>
      <c r="B535" s="621"/>
      <c r="C535" s="621"/>
      <c r="D535" s="621"/>
      <c r="E535" s="621"/>
      <c r="F535" s="621"/>
      <c r="G535" s="621"/>
      <c r="H535" s="621"/>
      <c r="I535" s="621"/>
      <c r="S535" s="495"/>
      <c r="T535" s="495"/>
      <c r="U535" s="495"/>
      <c r="V535" s="495"/>
    </row>
    <row r="536" spans="1:22" s="17" customFormat="1" ht="16.5" customHeight="1" x14ac:dyDescent="0.2">
      <c r="A536" s="621" t="s">
        <v>636</v>
      </c>
      <c r="B536" s="621"/>
      <c r="C536" s="621"/>
      <c r="D536" s="621"/>
      <c r="E536" s="621"/>
      <c r="F536" s="621"/>
      <c r="G536" s="621"/>
      <c r="H536" s="621"/>
      <c r="I536" s="621"/>
      <c r="S536" s="495"/>
      <c r="T536" s="495"/>
      <c r="U536" s="495"/>
      <c r="V536" s="495"/>
    </row>
    <row r="537" spans="1:22" s="17" customFormat="1" ht="16.5" customHeight="1" x14ac:dyDescent="0.2">
      <c r="A537" s="621" t="s">
        <v>637</v>
      </c>
      <c r="B537" s="621"/>
      <c r="C537" s="621"/>
      <c r="D537" s="621"/>
      <c r="E537" s="621"/>
      <c r="F537" s="621"/>
      <c r="G537" s="621"/>
      <c r="H537" s="621"/>
      <c r="I537" s="621"/>
      <c r="S537" s="495"/>
      <c r="T537" s="495"/>
      <c r="U537" s="495"/>
      <c r="V537" s="495"/>
    </row>
    <row r="538" spans="1:22" s="17" customFormat="1" ht="16.5" customHeight="1" x14ac:dyDescent="0.2">
      <c r="A538" s="621" t="s">
        <v>638</v>
      </c>
      <c r="B538" s="621"/>
      <c r="C538" s="621"/>
      <c r="D538" s="621"/>
      <c r="E538" s="621"/>
      <c r="F538" s="621"/>
      <c r="G538" s="621"/>
      <c r="H538" s="621"/>
      <c r="I538" s="621"/>
      <c r="S538" s="495"/>
      <c r="T538" s="495"/>
      <c r="U538" s="495"/>
      <c r="V538" s="495"/>
    </row>
    <row r="539" spans="1:22" s="17" customFormat="1" ht="16.5" customHeight="1" x14ac:dyDescent="0.25">
      <c r="A539" s="621" t="s">
        <v>639</v>
      </c>
      <c r="B539" s="621"/>
      <c r="C539" s="621"/>
      <c r="D539" s="621"/>
      <c r="E539" s="621"/>
      <c r="F539" s="621"/>
      <c r="G539" s="621"/>
      <c r="H539" s="621"/>
      <c r="I539" s="621"/>
      <c r="M539"/>
      <c r="S539" s="495"/>
      <c r="T539" s="495"/>
      <c r="U539" s="495"/>
      <c r="V539" s="495"/>
    </row>
    <row r="540" spans="1:22" s="17" customFormat="1" ht="16.5" customHeight="1" x14ac:dyDescent="0.25">
      <c r="A540" s="621" t="s">
        <v>640</v>
      </c>
      <c r="B540" s="621"/>
      <c r="C540" s="621"/>
      <c r="D540" s="621"/>
      <c r="E540" s="621"/>
      <c r="F540" s="621"/>
      <c r="G540" s="621"/>
      <c r="H540" s="621"/>
      <c r="I540" s="621"/>
      <c r="M540"/>
      <c r="S540" s="495"/>
      <c r="T540" s="495"/>
      <c r="U540" s="495"/>
      <c r="V540" s="495"/>
    </row>
    <row r="541" spans="1:22" s="17" customFormat="1" ht="16.5" customHeight="1" x14ac:dyDescent="0.25">
      <c r="A541" s="621" t="s">
        <v>1043</v>
      </c>
      <c r="B541" s="621"/>
      <c r="C541" s="621"/>
      <c r="D541" s="621"/>
      <c r="E541" s="621"/>
      <c r="F541" s="621"/>
      <c r="G541" s="621"/>
      <c r="H541" s="621"/>
      <c r="I541" s="621"/>
      <c r="M541"/>
      <c r="S541" s="495"/>
      <c r="T541" s="495"/>
      <c r="U541" s="495"/>
      <c r="V541" s="495"/>
    </row>
    <row r="542" spans="1:22" s="17" customFormat="1" ht="16.5" customHeight="1" x14ac:dyDescent="0.25">
      <c r="A542" s="621" t="s">
        <v>672</v>
      </c>
      <c r="B542" s="621"/>
      <c r="C542" s="621"/>
      <c r="D542" s="621"/>
      <c r="E542" s="621"/>
      <c r="F542" s="621"/>
      <c r="G542" s="621"/>
      <c r="H542" s="621"/>
      <c r="I542" s="621"/>
      <c r="M542"/>
      <c r="S542" s="495"/>
      <c r="T542" s="495"/>
      <c r="U542" s="495"/>
      <c r="V542" s="495"/>
    </row>
    <row r="543" spans="1:22" s="17" customFormat="1" ht="16.5" customHeight="1" x14ac:dyDescent="0.25">
      <c r="A543" s="145"/>
      <c r="B543" s="145"/>
      <c r="C543" s="145"/>
      <c r="D543" s="145"/>
      <c r="E543" s="145"/>
      <c r="F543" s="145"/>
      <c r="G543" s="145"/>
      <c r="H543" s="145"/>
      <c r="I543" s="145"/>
      <c r="M543"/>
      <c r="S543" s="495"/>
      <c r="T543" s="495"/>
      <c r="U543" s="495"/>
      <c r="V543" s="495"/>
    </row>
    <row r="544" spans="1:22" s="17" customFormat="1" ht="16.5" customHeight="1" x14ac:dyDescent="0.25">
      <c r="A544" s="145"/>
      <c r="B544" s="145"/>
      <c r="C544" s="145"/>
      <c r="D544" s="145"/>
      <c r="E544" s="145"/>
      <c r="F544" s="145"/>
      <c r="G544" s="145"/>
      <c r="H544" s="145"/>
      <c r="I544" s="145"/>
      <c r="M544"/>
      <c r="S544" s="495"/>
      <c r="T544" s="495"/>
      <c r="U544" s="495"/>
      <c r="V544" s="495"/>
    </row>
    <row r="545" spans="1:22" s="17" customFormat="1" ht="16.5" customHeight="1" x14ac:dyDescent="0.25">
      <c r="A545" s="145"/>
      <c r="B545" s="145"/>
      <c r="C545" s="145"/>
      <c r="D545" s="145"/>
      <c r="E545" s="145"/>
      <c r="F545" s="145"/>
      <c r="G545" s="145"/>
      <c r="H545" s="145"/>
      <c r="I545" s="145"/>
      <c r="M545"/>
      <c r="S545" s="495"/>
      <c r="T545" s="495"/>
      <c r="U545" s="495"/>
      <c r="V545" s="495"/>
    </row>
    <row r="546" spans="1:22" s="17" customFormat="1" ht="16.5" customHeight="1" x14ac:dyDescent="0.25">
      <c r="A546" s="145"/>
      <c r="B546" s="145"/>
      <c r="C546" s="145"/>
      <c r="D546" s="145"/>
      <c r="E546" s="145"/>
      <c r="F546" s="145"/>
      <c r="G546" s="145"/>
      <c r="H546" s="145"/>
      <c r="I546" s="145"/>
      <c r="M546"/>
      <c r="S546" s="495"/>
      <c r="T546" s="495"/>
      <c r="U546" s="495"/>
      <c r="V546" s="495"/>
    </row>
    <row r="547" spans="1:22" s="17" customFormat="1" ht="16.5" customHeight="1" x14ac:dyDescent="0.25">
      <c r="A547" s="145"/>
      <c r="B547" s="145"/>
      <c r="C547" s="145"/>
      <c r="D547" s="145"/>
      <c r="E547" s="145"/>
      <c r="F547" s="145"/>
      <c r="G547" s="145"/>
      <c r="H547" s="145"/>
      <c r="I547" s="145"/>
      <c r="M547"/>
      <c r="S547" s="495"/>
      <c r="T547" s="495"/>
      <c r="U547" s="495"/>
      <c r="V547" s="495"/>
    </row>
    <row r="548" spans="1:22" s="17" customFormat="1" ht="16.5" customHeight="1" x14ac:dyDescent="0.25">
      <c r="A548" s="145"/>
      <c r="B548" s="145"/>
      <c r="C548" s="145"/>
      <c r="D548" s="145"/>
      <c r="E548" s="145"/>
      <c r="F548" s="145"/>
      <c r="G548" s="145"/>
      <c r="H548" s="145"/>
      <c r="I548" s="145"/>
      <c r="M548"/>
      <c r="S548" s="495"/>
      <c r="T548" s="495"/>
      <c r="U548" s="495"/>
      <c r="V548" s="495"/>
    </row>
    <row r="549" spans="1:22" s="17" customFormat="1" ht="16.5" customHeight="1" x14ac:dyDescent="0.25">
      <c r="A549" s="145"/>
      <c r="B549" s="145"/>
      <c r="C549" s="145"/>
      <c r="D549" s="145"/>
      <c r="E549" s="145"/>
      <c r="F549" s="145"/>
      <c r="G549" s="145"/>
      <c r="H549" s="145"/>
      <c r="I549" s="145"/>
      <c r="L549"/>
      <c r="R549" s="495"/>
      <c r="S549" s="495"/>
      <c r="T549" s="495"/>
      <c r="U549" s="495"/>
    </row>
    <row r="550" spans="1:22" s="17" customFormat="1" ht="16.5" customHeight="1" x14ac:dyDescent="0.25">
      <c r="A550" s="145"/>
      <c r="B550" s="145"/>
      <c r="C550" s="145"/>
      <c r="D550" s="145"/>
      <c r="E550" s="145"/>
      <c r="F550" s="145"/>
      <c r="G550" s="145"/>
      <c r="H550" s="145"/>
      <c r="I550" s="145"/>
      <c r="L550"/>
      <c r="R550" s="495"/>
      <c r="S550" s="495"/>
      <c r="T550" s="495"/>
      <c r="U550" s="495"/>
    </row>
    <row r="551" spans="1:22" s="17" customFormat="1" ht="16.5" customHeight="1" x14ac:dyDescent="0.25">
      <c r="A551" s="145"/>
      <c r="B551" s="145"/>
      <c r="C551" s="145"/>
      <c r="D551" s="145"/>
      <c r="E551" s="145"/>
      <c r="F551" s="145"/>
      <c r="G551" s="145"/>
      <c r="H551" s="145"/>
      <c r="I551" s="145"/>
      <c r="L551"/>
      <c r="R551" s="495"/>
      <c r="S551" s="495"/>
      <c r="T551" s="495"/>
      <c r="U551" s="495"/>
    </row>
    <row r="552" spans="1:22" s="17" customFormat="1" ht="16.5" customHeight="1" x14ac:dyDescent="0.25">
      <c r="A552" s="145"/>
      <c r="B552" s="145"/>
      <c r="C552" s="145"/>
      <c r="D552" s="145"/>
      <c r="E552" s="145"/>
      <c r="F552" s="145"/>
      <c r="G552" s="145"/>
      <c r="H552" s="145"/>
      <c r="I552" s="257">
        <v>9</v>
      </c>
      <c r="L552"/>
      <c r="R552" s="495"/>
      <c r="S552" s="495"/>
      <c r="T552" s="495"/>
      <c r="U552" s="495"/>
    </row>
    <row r="553" spans="1:22" s="17" customFormat="1" ht="16.5" customHeight="1" x14ac:dyDescent="0.25">
      <c r="A553" s="145"/>
      <c r="B553" s="145"/>
      <c r="C553" s="145"/>
      <c r="D553" s="145"/>
      <c r="E553" s="145"/>
      <c r="F553" s="145"/>
      <c r="G553" s="145"/>
      <c r="H553" s="145"/>
      <c r="I553" s="145"/>
      <c r="M553"/>
    </row>
    <row r="554" spans="1:22" s="17" customFormat="1" ht="16.5" customHeight="1" x14ac:dyDescent="0.25">
      <c r="A554" s="156"/>
      <c r="B554" s="705" t="s">
        <v>189</v>
      </c>
      <c r="C554" s="705"/>
      <c r="D554" s="705"/>
      <c r="E554" s="156"/>
      <c r="F554" s="156" t="s">
        <v>190</v>
      </c>
      <c r="G554" s="156"/>
      <c r="H554" s="20"/>
      <c r="I554" s="15"/>
      <c r="M554"/>
    </row>
    <row r="555" spans="1:22" s="17" customFormat="1" ht="16.5" customHeight="1" x14ac:dyDescent="0.25">
      <c r="A555" s="156"/>
      <c r="B555" s="205"/>
      <c r="C555" s="205"/>
      <c r="D555" s="205"/>
      <c r="E555" s="156"/>
      <c r="F555" s="156"/>
      <c r="G555" s="156"/>
      <c r="H555" s="20"/>
      <c r="I555" s="15"/>
      <c r="M555"/>
    </row>
    <row r="556" spans="1:22" s="17" customFormat="1" ht="16.5" customHeight="1" x14ac:dyDescent="0.25">
      <c r="A556" s="621" t="s">
        <v>1044</v>
      </c>
      <c r="B556" s="621"/>
      <c r="C556" s="621"/>
      <c r="D556" s="621"/>
      <c r="E556" s="621"/>
      <c r="F556" s="621"/>
      <c r="G556" s="621"/>
      <c r="H556" s="621"/>
      <c r="I556" s="621"/>
      <c r="L556"/>
    </row>
    <row r="557" spans="1:22" s="17" customFormat="1" ht="16.5" customHeight="1" x14ac:dyDescent="0.25">
      <c r="A557" s="621" t="s">
        <v>1045</v>
      </c>
      <c r="B557" s="621"/>
      <c r="C557" s="621"/>
      <c r="D557" s="621"/>
      <c r="E557" s="621"/>
      <c r="F557" s="621"/>
      <c r="G557" s="621"/>
      <c r="H557" s="621"/>
      <c r="I557" s="621"/>
      <c r="L557"/>
    </row>
    <row r="558" spans="1:22" s="17" customFormat="1" ht="16.5" customHeight="1" x14ac:dyDescent="0.25">
      <c r="A558" s="145"/>
      <c r="B558" s="145"/>
      <c r="C558" s="145"/>
      <c r="D558" s="145"/>
      <c r="E558" s="145"/>
      <c r="F558" s="145"/>
      <c r="G558" s="145"/>
      <c r="H558" s="145"/>
      <c r="I558" s="145"/>
      <c r="L558"/>
    </row>
    <row r="559" spans="1:22" s="17" customFormat="1" ht="16.5" customHeight="1" x14ac:dyDescent="0.25">
      <c r="A559" s="156"/>
      <c r="B559" s="156"/>
      <c r="C559" s="156"/>
      <c r="D559" s="605" t="s">
        <v>84</v>
      </c>
      <c r="E559" s="605"/>
      <c r="F559" s="605"/>
      <c r="G559" s="156"/>
      <c r="H559" s="156"/>
      <c r="I559" s="15"/>
      <c r="L559"/>
    </row>
    <row r="560" spans="1:22" s="17" customFormat="1" ht="16.5" customHeight="1" x14ac:dyDescent="0.2">
      <c r="A560" s="156"/>
      <c r="B560" s="156"/>
      <c r="C560" s="156"/>
      <c r="D560" s="144"/>
      <c r="E560" s="144"/>
      <c r="F560" s="144"/>
      <c r="G560" s="156"/>
      <c r="H560" s="156"/>
      <c r="I560" s="15"/>
    </row>
    <row r="561" spans="1:9" s="17" customFormat="1" ht="16.5" customHeight="1" x14ac:dyDescent="0.2">
      <c r="A561" s="613" t="s">
        <v>150</v>
      </c>
      <c r="B561" s="615" t="s">
        <v>151</v>
      </c>
      <c r="C561" s="616"/>
      <c r="D561" s="411" t="s">
        <v>85</v>
      </c>
      <c r="E561" s="409" t="s">
        <v>152</v>
      </c>
      <c r="F561" s="42" t="s">
        <v>86</v>
      </c>
      <c r="G561" s="619" t="s">
        <v>52</v>
      </c>
      <c r="H561" s="620"/>
      <c r="I561" s="613" t="s">
        <v>53</v>
      </c>
    </row>
    <row r="562" spans="1:9" s="17" customFormat="1" ht="16.5" customHeight="1" x14ac:dyDescent="0.2">
      <c r="A562" s="614"/>
      <c r="B562" s="617"/>
      <c r="C562" s="618"/>
      <c r="D562" s="412" t="s">
        <v>537</v>
      </c>
      <c r="E562" s="44" t="s">
        <v>571</v>
      </c>
      <c r="F562" s="44" t="s">
        <v>571</v>
      </c>
      <c r="G562" s="29" t="s">
        <v>55</v>
      </c>
      <c r="H562" s="29" t="s">
        <v>56</v>
      </c>
      <c r="I562" s="614"/>
    </row>
    <row r="563" spans="1:9" s="17" customFormat="1" ht="16.5" customHeight="1" x14ac:dyDescent="0.2">
      <c r="A563" s="149">
        <v>1</v>
      </c>
      <c r="B563" s="717">
        <v>2</v>
      </c>
      <c r="C563" s="718"/>
      <c r="D563" s="147">
        <v>3</v>
      </c>
      <c r="E563" s="147">
        <v>4</v>
      </c>
      <c r="F563" s="147">
        <v>5</v>
      </c>
      <c r="G563" s="147">
        <v>6</v>
      </c>
      <c r="H563" s="147">
        <v>7</v>
      </c>
      <c r="I563" s="164">
        <v>8</v>
      </c>
    </row>
    <row r="564" spans="1:9" s="17" customFormat="1" ht="16.5" customHeight="1" x14ac:dyDescent="0.2">
      <c r="A564" s="86">
        <v>10</v>
      </c>
      <c r="B564" s="601" t="s">
        <v>162</v>
      </c>
      <c r="C564" s="602"/>
      <c r="D564" s="6">
        <f>148006.38+338572+7765.48+209434.98+23740.13+254973.12+234787.76+89487.16+334329.51+61501.06+143982.79+53124.14+127701.71+40391.48+111611.17+32367.73+2971462.79+130232.88+242352.2+148658.35+98201.94+471417.5+8804113.24+3998029.57</f>
        <v>19076245.07</v>
      </c>
      <c r="E564" s="497">
        <f>197148+383174.21+3490.76+12539.7+223515.85+28859.44+233408.61+237211.2+124151.12+350599.08+47732.37+148724.05+56036.46+133726.72+42897.92+108550.14+33228.87+3268661.73+134216.07+233538.79+147961.24+109502.03+514296.45+10883130.35+3329596.04</f>
        <v>20985897.199999999</v>
      </c>
      <c r="F564" s="6">
        <f>197148+383174.21+3490.76+12539.7+223515.85+28859.44+233408.61+237211.2+124151.12+350599.08+47732.37+148724.05+56036.46+133726.72+42897.92+108550.14+33228.87+3268661.73+134216.07+233538.79+147961.24+109502.03+514296.45+10878229.57+3329596.04</f>
        <v>20980996.420000002</v>
      </c>
      <c r="G564" s="165">
        <f t="shared" ref="G564:G569" si="20">F564/D564</f>
        <v>1.0998493856107712</v>
      </c>
      <c r="H564" s="165">
        <f t="shared" ref="H564:H570" si="21">F564/E564</f>
        <v>0.99976647269576835</v>
      </c>
      <c r="I564" s="166">
        <f>F564/F570</f>
        <v>0.99394533837301779</v>
      </c>
    </row>
    <row r="565" spans="1:9" s="17" customFormat="1" ht="16.5" customHeight="1" x14ac:dyDescent="0.2">
      <c r="A565" s="86">
        <v>21</v>
      </c>
      <c r="B565" s="601" t="s">
        <v>96</v>
      </c>
      <c r="C565" s="602"/>
      <c r="D565" s="6">
        <f>72450+54999.85</f>
        <v>127449.85</v>
      </c>
      <c r="E565" s="497">
        <f>50400+34913.19</f>
        <v>85313.19</v>
      </c>
      <c r="F565" s="6">
        <f>50400+34300.14</f>
        <v>84700.14</v>
      </c>
      <c r="G565" s="165">
        <f t="shared" si="20"/>
        <v>0.66457622351065926</v>
      </c>
      <c r="H565" s="165">
        <f t="shared" si="21"/>
        <v>0.99281412405279879</v>
      </c>
      <c r="I565" s="166">
        <f>F565/F570</f>
        <v>4.0125505780216879E-3</v>
      </c>
    </row>
    <row r="566" spans="1:9" s="17" customFormat="1" ht="16.5" customHeight="1" x14ac:dyDescent="0.2">
      <c r="A566" s="86">
        <v>22</v>
      </c>
      <c r="B566" s="601" t="s">
        <v>163</v>
      </c>
      <c r="C566" s="602"/>
      <c r="D566" s="6">
        <f>39276.53+17385.5</f>
        <v>56662.03</v>
      </c>
      <c r="E566" s="497">
        <v>0</v>
      </c>
      <c r="F566" s="6">
        <v>0</v>
      </c>
      <c r="G566" s="165">
        <f t="shared" si="20"/>
        <v>0</v>
      </c>
      <c r="H566" s="165" t="e">
        <f t="shared" si="21"/>
        <v>#DIV/0!</v>
      </c>
      <c r="I566" s="166">
        <f>F566/F570</f>
        <v>0</v>
      </c>
    </row>
    <row r="567" spans="1:9" s="17" customFormat="1" ht="16.5" customHeight="1" x14ac:dyDescent="0.2">
      <c r="A567" s="86">
        <v>31</v>
      </c>
      <c r="B567" s="601" t="s">
        <v>191</v>
      </c>
      <c r="C567" s="602"/>
      <c r="D567" s="6">
        <v>0</v>
      </c>
      <c r="E567" s="497">
        <v>0</v>
      </c>
      <c r="F567" s="6">
        <v>0</v>
      </c>
      <c r="G567" s="165" t="e">
        <f t="shared" si="20"/>
        <v>#DIV/0!</v>
      </c>
      <c r="H567" s="165" t="e">
        <f t="shared" si="21"/>
        <v>#DIV/0!</v>
      </c>
      <c r="I567" s="166">
        <f>F567/F570</f>
        <v>0</v>
      </c>
    </row>
    <row r="568" spans="1:9" s="17" customFormat="1" ht="16.5" customHeight="1" x14ac:dyDescent="0.2">
      <c r="A568" s="86" t="s">
        <v>158</v>
      </c>
      <c r="B568" s="601" t="s">
        <v>142</v>
      </c>
      <c r="C568" s="602"/>
      <c r="D568" s="6">
        <f>9614.68+21133.11</f>
        <v>30747.79</v>
      </c>
      <c r="E568" s="497">
        <f>2589.72+12666.55+31117.71+897</f>
        <v>47270.979999999996</v>
      </c>
      <c r="F568" s="6">
        <f>11988.83+31117.69</f>
        <v>43106.52</v>
      </c>
      <c r="G568" s="165">
        <f t="shared" si="20"/>
        <v>1.4019388060084967</v>
      </c>
      <c r="H568" s="165">
        <f t="shared" si="21"/>
        <v>0.91190239762323522</v>
      </c>
      <c r="I568" s="166">
        <f>F568/F570</f>
        <v>2.0421110489605267E-3</v>
      </c>
    </row>
    <row r="569" spans="1:9" s="17" customFormat="1" ht="16.5" customHeight="1" x14ac:dyDescent="0.2">
      <c r="A569" s="86">
        <v>4</v>
      </c>
      <c r="B569" s="601" t="s">
        <v>160</v>
      </c>
      <c r="C569" s="602"/>
      <c r="D569" s="6">
        <v>0</v>
      </c>
      <c r="E569" s="6">
        <v>0</v>
      </c>
      <c r="F569" s="6">
        <v>0</v>
      </c>
      <c r="G569" s="165" t="e">
        <f t="shared" si="20"/>
        <v>#DIV/0!</v>
      </c>
      <c r="H569" s="165" t="e">
        <f t="shared" si="21"/>
        <v>#DIV/0!</v>
      </c>
      <c r="I569" s="166">
        <v>0</v>
      </c>
    </row>
    <row r="570" spans="1:9" s="17" customFormat="1" ht="16.5" customHeight="1" x14ac:dyDescent="0.2">
      <c r="A570" s="168"/>
      <c r="B570" s="625" t="s">
        <v>192</v>
      </c>
      <c r="C570" s="626"/>
      <c r="D570" s="414">
        <f>D564+D565+D566+D568+D569</f>
        <v>19291104.740000002</v>
      </c>
      <c r="E570" s="414">
        <f>+E564+E565+E566+E567+E568+E569</f>
        <v>21118481.370000001</v>
      </c>
      <c r="F570" s="414">
        <f>F564+F565+F566+F567+F568+F569</f>
        <v>21108803.080000002</v>
      </c>
      <c r="G570" s="206">
        <f>F570/D570</f>
        <v>1.0942246887619149</v>
      </c>
      <c r="H570" s="206">
        <f t="shared" si="21"/>
        <v>0.99954171467964792</v>
      </c>
      <c r="I570" s="155">
        <f>SUM(I564:I568)</f>
        <v>1</v>
      </c>
    </row>
    <row r="571" spans="1:9" s="17" customFormat="1" ht="16.5" customHeight="1" x14ac:dyDescent="0.2">
      <c r="A571" s="23"/>
      <c r="B571" s="23"/>
      <c r="C571" s="23"/>
      <c r="D571" s="23"/>
      <c r="E571" s="23"/>
      <c r="F571" s="23"/>
      <c r="G571" s="23"/>
      <c r="H571" s="23"/>
      <c r="I571" s="23"/>
    </row>
    <row r="572" spans="1:9" s="17" customFormat="1" ht="16.5" customHeight="1" x14ac:dyDescent="0.2">
      <c r="A572" s="20" t="s">
        <v>1046</v>
      </c>
      <c r="B572" s="20"/>
      <c r="C572" s="20"/>
      <c r="D572" s="20"/>
      <c r="E572" s="20"/>
      <c r="F572" s="20"/>
      <c r="G572" s="20"/>
      <c r="H572" s="20"/>
      <c r="I572" s="20"/>
    </row>
    <row r="573" spans="1:9" s="17" customFormat="1" ht="18" customHeight="1" x14ac:dyDescent="0.2">
      <c r="A573" s="603" t="s">
        <v>1047</v>
      </c>
      <c r="B573" s="603"/>
      <c r="C573" s="603"/>
      <c r="D573" s="603"/>
      <c r="E573" s="603"/>
      <c r="F573" s="603"/>
      <c r="G573" s="603"/>
      <c r="H573" s="603"/>
      <c r="I573" s="603"/>
    </row>
    <row r="574" spans="1:9" s="17" customFormat="1" ht="16.5" customHeight="1" x14ac:dyDescent="0.2">
      <c r="A574" s="20" t="s">
        <v>641</v>
      </c>
      <c r="B574" s="20"/>
      <c r="C574" s="20"/>
      <c r="D574" s="20"/>
      <c r="E574" s="20"/>
      <c r="F574" s="20"/>
      <c r="G574" s="20"/>
      <c r="H574" s="20"/>
      <c r="I574" s="20"/>
    </row>
    <row r="575" spans="1:9" s="17" customFormat="1" ht="16.5" customHeight="1" x14ac:dyDescent="0.2">
      <c r="A575" s="21"/>
      <c r="B575" s="21" t="s">
        <v>642</v>
      </c>
      <c r="C575" s="21"/>
      <c r="D575" s="21"/>
      <c r="E575" s="21"/>
      <c r="F575" s="21"/>
      <c r="G575" s="21"/>
      <c r="H575" s="21"/>
      <c r="I575" s="41"/>
    </row>
    <row r="576" spans="1:9" s="17" customFormat="1" ht="16.5" customHeight="1" x14ac:dyDescent="0.2">
      <c r="A576" s="156" t="s">
        <v>1011</v>
      </c>
      <c r="B576" s="191"/>
      <c r="C576" s="15"/>
      <c r="D576" s="23"/>
      <c r="E576" s="23"/>
      <c r="F576" s="23"/>
      <c r="G576" s="156"/>
      <c r="H576" s="156"/>
    </row>
    <row r="577" spans="1:9" s="17" customFormat="1" ht="16.5" customHeight="1" x14ac:dyDescent="0.2">
      <c r="A577" s="156"/>
      <c r="B577" s="191" t="s">
        <v>643</v>
      </c>
      <c r="C577" s="15"/>
      <c r="D577" s="23"/>
      <c r="E577" s="23"/>
      <c r="F577" s="23"/>
      <c r="G577" s="156"/>
      <c r="H577" s="156"/>
    </row>
    <row r="578" spans="1:9" s="17" customFormat="1" ht="16.5" customHeight="1" x14ac:dyDescent="0.2">
      <c r="A578" s="156" t="s">
        <v>644</v>
      </c>
      <c r="B578" s="191"/>
      <c r="C578" s="15"/>
      <c r="D578" s="23"/>
      <c r="E578" s="23"/>
      <c r="F578" s="23"/>
      <c r="G578" s="156"/>
      <c r="H578" s="156"/>
    </row>
    <row r="579" spans="1:9" s="17" customFormat="1" ht="16.5" customHeight="1" x14ac:dyDescent="0.2">
      <c r="A579" s="156"/>
      <c r="B579" s="191"/>
      <c r="C579" s="15"/>
      <c r="D579" s="605" t="s">
        <v>84</v>
      </c>
      <c r="E579" s="605"/>
      <c r="F579" s="605"/>
      <c r="G579" s="156"/>
      <c r="H579" s="156"/>
      <c r="I579" s="15"/>
    </row>
    <row r="580" spans="1:9" s="17" customFormat="1" ht="16.5" customHeight="1" x14ac:dyDescent="0.2">
      <c r="A580" s="156"/>
      <c r="B580" s="191"/>
      <c r="C580" s="15"/>
      <c r="D580" s="144"/>
      <c r="E580" s="144"/>
      <c r="F580" s="144"/>
      <c r="G580" s="156"/>
      <c r="H580" s="156"/>
    </row>
    <row r="581" spans="1:9" s="17" customFormat="1" ht="16.5" customHeight="1" x14ac:dyDescent="0.2">
      <c r="A581" s="192" t="s">
        <v>48</v>
      </c>
      <c r="B581" s="615" t="s">
        <v>151</v>
      </c>
      <c r="C581" s="616"/>
      <c r="D581" s="411" t="s">
        <v>85</v>
      </c>
      <c r="E581" s="409" t="s">
        <v>152</v>
      </c>
      <c r="F581" s="42" t="s">
        <v>86</v>
      </c>
      <c r="G581" s="619" t="s">
        <v>52</v>
      </c>
      <c r="H581" s="620"/>
      <c r="I581" s="613" t="s">
        <v>53</v>
      </c>
    </row>
    <row r="582" spans="1:9" s="17" customFormat="1" ht="16.5" customHeight="1" x14ac:dyDescent="0.2">
      <c r="A582" s="193" t="s">
        <v>87</v>
      </c>
      <c r="B582" s="617"/>
      <c r="C582" s="618"/>
      <c r="D582" s="412" t="s">
        <v>537</v>
      </c>
      <c r="E582" s="44" t="s">
        <v>571</v>
      </c>
      <c r="F582" s="44" t="s">
        <v>571</v>
      </c>
      <c r="G582" s="207" t="s">
        <v>55</v>
      </c>
      <c r="H582" s="29" t="s">
        <v>56</v>
      </c>
      <c r="I582" s="614"/>
    </row>
    <row r="583" spans="1:9" s="17" customFormat="1" ht="16.5" customHeight="1" x14ac:dyDescent="0.2">
      <c r="A583" s="150">
        <v>1</v>
      </c>
      <c r="B583" s="717">
        <v>2</v>
      </c>
      <c r="C583" s="718"/>
      <c r="D583" s="149">
        <v>3</v>
      </c>
      <c r="E583" s="208">
        <v>4</v>
      </c>
      <c r="F583" s="149">
        <v>5</v>
      </c>
      <c r="G583" s="149">
        <v>6</v>
      </c>
      <c r="H583" s="148">
        <v>7</v>
      </c>
      <c r="I583" s="150">
        <v>8</v>
      </c>
    </row>
    <row r="584" spans="1:9" s="17" customFormat="1" ht="16.5" customHeight="1" x14ac:dyDescent="0.2">
      <c r="A584" s="114">
        <v>11111</v>
      </c>
      <c r="B584" s="708" t="s">
        <v>193</v>
      </c>
      <c r="C584" s="709"/>
      <c r="D584" s="6">
        <v>14043805.1</v>
      </c>
      <c r="E584" s="209"/>
      <c r="F584" s="6">
        <f>13968957.97-84700.14</f>
        <v>13884257.83</v>
      </c>
      <c r="G584" s="165">
        <f t="shared" ref="G584:G600" si="22">F584/D584</f>
        <v>0.98863931328696664</v>
      </c>
      <c r="H584" s="165" t="e">
        <f t="shared" ref="H584:H600" si="23">F584/E584</f>
        <v>#DIV/0!</v>
      </c>
      <c r="I584" s="166">
        <f>F584/F600</f>
        <v>0.65774728095099555</v>
      </c>
    </row>
    <row r="585" spans="1:9" s="17" customFormat="1" ht="16.5" customHeight="1" x14ac:dyDescent="0.2">
      <c r="A585" s="114">
        <v>11115</v>
      </c>
      <c r="B585" s="708" t="s">
        <v>194</v>
      </c>
      <c r="C585" s="709"/>
      <c r="D585" s="6">
        <v>47411.71</v>
      </c>
      <c r="E585" s="209"/>
      <c r="F585" s="6">
        <v>0</v>
      </c>
      <c r="G585" s="165">
        <f t="shared" si="22"/>
        <v>0</v>
      </c>
      <c r="H585" s="165" t="e">
        <f t="shared" si="23"/>
        <v>#DIV/0!</v>
      </c>
      <c r="I585" s="166">
        <f>F585/F600</f>
        <v>0</v>
      </c>
    </row>
    <row r="586" spans="1:9" s="17" customFormat="1" ht="16.5" customHeight="1" x14ac:dyDescent="0.2">
      <c r="A586" s="114">
        <v>11125</v>
      </c>
      <c r="B586" s="726" t="s">
        <v>438</v>
      </c>
      <c r="C586" s="727"/>
      <c r="D586" s="6">
        <v>5871.11</v>
      </c>
      <c r="E586" s="209"/>
      <c r="F586" s="6">
        <v>0</v>
      </c>
      <c r="G586" s="165">
        <f t="shared" si="22"/>
        <v>0</v>
      </c>
      <c r="H586" s="165" t="e">
        <f t="shared" si="23"/>
        <v>#DIV/0!</v>
      </c>
      <c r="I586" s="166">
        <f>F586/F600</f>
        <v>0</v>
      </c>
    </row>
    <row r="587" spans="1:9" s="17" customFormat="1" ht="16.5" customHeight="1" x14ac:dyDescent="0.2">
      <c r="A587" s="114">
        <v>11151</v>
      </c>
      <c r="B587" s="582" t="s">
        <v>608</v>
      </c>
      <c r="C587" s="583"/>
      <c r="D587" s="6">
        <v>0</v>
      </c>
      <c r="E587" s="209"/>
      <c r="F587" s="6">
        <v>52144.35</v>
      </c>
      <c r="G587" s="165" t="e">
        <f t="shared" si="22"/>
        <v>#DIV/0!</v>
      </c>
      <c r="H587" s="165" t="e">
        <f t="shared" si="23"/>
        <v>#DIV/0!</v>
      </c>
      <c r="I587" s="166">
        <f>F587/F600</f>
        <v>2.4702655949927032E-3</v>
      </c>
    </row>
    <row r="588" spans="1:9" s="17" customFormat="1" ht="16.5" customHeight="1" x14ac:dyDescent="0.2">
      <c r="A588" s="114">
        <v>11152</v>
      </c>
      <c r="B588" s="726" t="s">
        <v>195</v>
      </c>
      <c r="C588" s="727"/>
      <c r="D588" s="6">
        <v>5200</v>
      </c>
      <c r="E588" s="209"/>
      <c r="F588" s="6">
        <v>13935.25</v>
      </c>
      <c r="G588" s="165">
        <f t="shared" si="22"/>
        <v>2.6798557692307692</v>
      </c>
      <c r="H588" s="165" t="e">
        <f t="shared" si="23"/>
        <v>#DIV/0!</v>
      </c>
      <c r="I588" s="166">
        <f>F588/F600</f>
        <v>6.6016296363119041E-4</v>
      </c>
    </row>
    <row r="589" spans="1:9" s="17" customFormat="1" ht="16.5" customHeight="1" x14ac:dyDescent="0.2">
      <c r="A589" s="114">
        <v>11400</v>
      </c>
      <c r="B589" s="708" t="s">
        <v>439</v>
      </c>
      <c r="C589" s="709"/>
      <c r="D589" s="6">
        <v>26200.18</v>
      </c>
      <c r="E589" s="209"/>
      <c r="F589" s="6">
        <v>0</v>
      </c>
      <c r="G589" s="165">
        <f t="shared" si="22"/>
        <v>0</v>
      </c>
      <c r="H589" s="165" t="e">
        <f t="shared" si="23"/>
        <v>#DIV/0!</v>
      </c>
      <c r="I589" s="166">
        <f>F589/F600</f>
        <v>0</v>
      </c>
    </row>
    <row r="590" spans="1:9" s="17" customFormat="1" ht="16.5" customHeight="1" x14ac:dyDescent="0.2">
      <c r="A590" s="114">
        <v>11211</v>
      </c>
      <c r="B590" s="134" t="s">
        <v>586</v>
      </c>
      <c r="C590" s="135"/>
      <c r="D590" s="6">
        <v>0</v>
      </c>
      <c r="E590" s="209"/>
      <c r="F590" s="6">
        <v>771325.41</v>
      </c>
      <c r="G590" s="165" t="e">
        <f t="shared" si="22"/>
        <v>#DIV/0!</v>
      </c>
      <c r="H590" s="165" t="e">
        <f t="shared" si="23"/>
        <v>#DIV/0!</v>
      </c>
      <c r="I590" s="166">
        <f>F590/F600</f>
        <v>3.6540461677375222E-2</v>
      </c>
    </row>
    <row r="591" spans="1:9" s="17" customFormat="1" ht="16.5" customHeight="1" x14ac:dyDescent="0.2">
      <c r="A591" s="114">
        <v>11121</v>
      </c>
      <c r="B591" s="708" t="s">
        <v>404</v>
      </c>
      <c r="C591" s="709"/>
      <c r="D591" s="6">
        <v>950894.16</v>
      </c>
      <c r="E591" s="209"/>
      <c r="F591" s="6">
        <v>970907.37</v>
      </c>
      <c r="G591" s="165">
        <f t="shared" si="22"/>
        <v>1.0210467272193573</v>
      </c>
      <c r="H591" s="165" t="e">
        <f t="shared" si="23"/>
        <v>#DIV/0!</v>
      </c>
      <c r="I591" s="166">
        <f>F591/F600</f>
        <v>4.5995377678230732E-2</v>
      </c>
    </row>
    <row r="592" spans="1:9" s="17" customFormat="1" ht="16.5" customHeight="1" x14ac:dyDescent="0.2">
      <c r="A592" s="114">
        <v>11131</v>
      </c>
      <c r="B592" s="708" t="s">
        <v>196</v>
      </c>
      <c r="C592" s="709"/>
      <c r="D592" s="6">
        <v>792179.11</v>
      </c>
      <c r="E592" s="209"/>
      <c r="F592" s="6">
        <v>842730.23</v>
      </c>
      <c r="G592" s="165">
        <f t="shared" si="22"/>
        <v>1.0638127405303581</v>
      </c>
      <c r="H592" s="165" t="e">
        <f t="shared" si="23"/>
        <v>#DIV/0!</v>
      </c>
      <c r="I592" s="166">
        <f>F592/F600</f>
        <v>3.9923165079808025E-2</v>
      </c>
    </row>
    <row r="593" spans="1:12" s="17" customFormat="1" ht="16.5" customHeight="1" x14ac:dyDescent="0.2">
      <c r="A593" s="114">
        <v>11311</v>
      </c>
      <c r="B593" s="708" t="s">
        <v>197</v>
      </c>
      <c r="C593" s="709"/>
      <c r="D593" s="6">
        <v>792179.11</v>
      </c>
      <c r="E593" s="209"/>
      <c r="F593" s="6">
        <v>842730.23</v>
      </c>
      <c r="G593" s="165">
        <f t="shared" si="22"/>
        <v>1.0638127405303581</v>
      </c>
      <c r="H593" s="165" t="e">
        <f t="shared" si="23"/>
        <v>#DIV/0!</v>
      </c>
      <c r="I593" s="166">
        <f>F593/F600</f>
        <v>3.9923165079808025E-2</v>
      </c>
    </row>
    <row r="594" spans="1:12" s="17" customFormat="1" ht="16.5" customHeight="1" x14ac:dyDescent="0.2">
      <c r="A594" s="114">
        <v>11411</v>
      </c>
      <c r="B594" s="134" t="s">
        <v>587</v>
      </c>
      <c r="C594" s="135"/>
      <c r="D594" s="6">
        <v>0</v>
      </c>
      <c r="E594" s="209"/>
      <c r="F594" s="6">
        <v>50375.42</v>
      </c>
      <c r="G594" s="165" t="e">
        <f t="shared" si="22"/>
        <v>#DIV/0!</v>
      </c>
      <c r="H594" s="165" t="e">
        <f t="shared" si="23"/>
        <v>#DIV/0!</v>
      </c>
      <c r="I594" s="166">
        <f>F594/F600</f>
        <v>2.386465012207599E-3</v>
      </c>
    </row>
    <row r="595" spans="1:12" s="17" customFormat="1" ht="16.5" customHeight="1" x14ac:dyDescent="0.2">
      <c r="A595" s="114">
        <v>11416</v>
      </c>
      <c r="B595" s="134" t="s">
        <v>588</v>
      </c>
      <c r="C595" s="135"/>
      <c r="D595" s="6">
        <v>0</v>
      </c>
      <c r="E595" s="209"/>
      <c r="F595" s="6">
        <v>6415.04</v>
      </c>
      <c r="G595" s="165" t="e">
        <f t="shared" si="22"/>
        <v>#DIV/0!</v>
      </c>
      <c r="H595" s="165" t="e">
        <f t="shared" si="23"/>
        <v>#DIV/0!</v>
      </c>
      <c r="I595" s="166">
        <f>F595/F600</f>
        <v>3.0390354089181263E-4</v>
      </c>
    </row>
    <row r="596" spans="1:12" s="17" customFormat="1" ht="16.5" customHeight="1" x14ac:dyDescent="0.2">
      <c r="A596" s="114">
        <v>11418</v>
      </c>
      <c r="B596" s="134" t="s">
        <v>589</v>
      </c>
      <c r="C596" s="135"/>
      <c r="D596" s="6">
        <v>0</v>
      </c>
      <c r="E596" s="209"/>
      <c r="F596" s="6">
        <v>45600.04</v>
      </c>
      <c r="G596" s="165" t="e">
        <f t="shared" si="22"/>
        <v>#DIV/0!</v>
      </c>
      <c r="H596" s="165" t="e">
        <f t="shared" si="23"/>
        <v>#DIV/0!</v>
      </c>
      <c r="I596" s="166">
        <f>F596/F600</f>
        <v>2.1602380687896399E-3</v>
      </c>
    </row>
    <row r="597" spans="1:12" s="17" customFormat="1" ht="16.5" customHeight="1" x14ac:dyDescent="0.2">
      <c r="A597" s="114">
        <v>11431</v>
      </c>
      <c r="B597" s="134" t="s">
        <v>590</v>
      </c>
      <c r="C597" s="135"/>
      <c r="D597" s="6">
        <v>0</v>
      </c>
      <c r="E597" s="209"/>
      <c r="F597" s="6">
        <v>242366.09</v>
      </c>
      <c r="G597" s="165" t="e">
        <f t="shared" si="22"/>
        <v>#DIV/0!</v>
      </c>
      <c r="H597" s="165" t="e">
        <f t="shared" si="23"/>
        <v>#DIV/0!</v>
      </c>
      <c r="I597" s="166">
        <f>F597/F600</f>
        <v>1.1481754274814146E-2</v>
      </c>
    </row>
    <row r="598" spans="1:12" s="17" customFormat="1" ht="16.5" customHeight="1" x14ac:dyDescent="0.2">
      <c r="A598" s="114">
        <v>11611</v>
      </c>
      <c r="B598" s="134" t="s">
        <v>591</v>
      </c>
      <c r="C598" s="135"/>
      <c r="D598" s="6">
        <v>0</v>
      </c>
      <c r="E598" s="209"/>
      <c r="F598" s="6">
        <v>16265.13</v>
      </c>
      <c r="G598" s="165" t="e">
        <f t="shared" si="22"/>
        <v>#DIV/0!</v>
      </c>
      <c r="H598" s="165" t="e">
        <f t="shared" si="23"/>
        <v>#DIV/0!</v>
      </c>
      <c r="I598" s="166">
        <f>F598/F600</f>
        <v>7.7053776750661703E-4</v>
      </c>
    </row>
    <row r="599" spans="1:12" s="17" customFormat="1" ht="16.5" customHeight="1" x14ac:dyDescent="0.2">
      <c r="A599" s="114">
        <v>11900</v>
      </c>
      <c r="B599" s="134" t="s">
        <v>504</v>
      </c>
      <c r="C599" s="135"/>
      <c r="D599" s="6">
        <v>2627364.2599999998</v>
      </c>
      <c r="E599" s="209"/>
      <c r="F599" s="6">
        <f>3376688.47-6937.78</f>
        <v>3369750.6900000004</v>
      </c>
      <c r="G599" s="165">
        <f t="shared" si="22"/>
        <v>1.282559385199219</v>
      </c>
      <c r="H599" s="165" t="e">
        <f t="shared" si="23"/>
        <v>#DIV/0!</v>
      </c>
      <c r="I599" s="166">
        <f>F599/F600</f>
        <v>0.15963722231094879</v>
      </c>
    </row>
    <row r="600" spans="1:12" s="17" customFormat="1" ht="16.5" customHeight="1" x14ac:dyDescent="0.2">
      <c r="A600" s="210"/>
      <c r="B600" s="625" t="s">
        <v>192</v>
      </c>
      <c r="C600" s="626"/>
      <c r="D600" s="597">
        <f>SUM(D584:D599)</f>
        <v>19291104.739999998</v>
      </c>
      <c r="E600" s="597">
        <f>E570</f>
        <v>21118481.370000001</v>
      </c>
      <c r="F600" s="597">
        <f>SUM(F584:F599)</f>
        <v>21108803.079999998</v>
      </c>
      <c r="G600" s="211">
        <f t="shared" si="22"/>
        <v>1.0942246887619149</v>
      </c>
      <c r="H600" s="211">
        <f t="shared" si="23"/>
        <v>0.99954171467964781</v>
      </c>
      <c r="I600" s="52">
        <f>SUM(I584:I599)</f>
        <v>0.99999999999999989</v>
      </c>
    </row>
    <row r="601" spans="1:12" s="17" customFormat="1" ht="16.5" customHeight="1" x14ac:dyDescent="0.2">
      <c r="A601" s="621" t="s">
        <v>1048</v>
      </c>
      <c r="B601" s="621"/>
      <c r="C601" s="621"/>
      <c r="D601" s="621"/>
      <c r="E601" s="621"/>
      <c r="F601" s="621"/>
      <c r="G601" s="621"/>
      <c r="H601" s="621"/>
      <c r="I601" s="621"/>
    </row>
    <row r="602" spans="1:12" s="17" customFormat="1" ht="16.5" customHeight="1" x14ac:dyDescent="0.2">
      <c r="A602" s="621" t="s">
        <v>645</v>
      </c>
      <c r="B602" s="621"/>
      <c r="C602" s="621"/>
      <c r="D602" s="621"/>
      <c r="E602" s="621"/>
      <c r="F602" s="621"/>
      <c r="G602" s="621"/>
      <c r="H602" s="621"/>
      <c r="I602" s="621"/>
    </row>
    <row r="603" spans="1:12" s="17" customFormat="1" ht="16.5" customHeight="1" x14ac:dyDescent="0.2">
      <c r="A603" s="145"/>
      <c r="B603" s="145" t="s">
        <v>1049</v>
      </c>
      <c r="C603" s="145"/>
      <c r="D603" s="145"/>
      <c r="E603" s="145"/>
      <c r="F603" s="145"/>
      <c r="G603" s="145"/>
      <c r="H603" s="145"/>
      <c r="I603" s="145"/>
    </row>
    <row r="604" spans="1:12" s="17" customFormat="1" ht="16.5" customHeight="1" x14ac:dyDescent="0.2">
      <c r="A604" s="145" t="s">
        <v>1050</v>
      </c>
      <c r="B604" s="145"/>
      <c r="C604" s="145"/>
      <c r="D604" s="145"/>
      <c r="E604" s="145"/>
      <c r="F604" s="145"/>
      <c r="G604" s="145"/>
      <c r="H604" s="145"/>
      <c r="I604" s="145"/>
    </row>
    <row r="605" spans="1:12" s="17" customFormat="1" ht="16.5" customHeight="1" x14ac:dyDescent="0.2">
      <c r="A605" s="621" t="s">
        <v>440</v>
      </c>
      <c r="B605" s="621"/>
      <c r="C605" s="621"/>
      <c r="D605" s="621"/>
      <c r="E605" s="621"/>
      <c r="F605" s="621"/>
      <c r="G605" s="621"/>
      <c r="H605" s="621"/>
      <c r="I605" s="621"/>
    </row>
    <row r="606" spans="1:12" s="17" customFormat="1" ht="16.5" customHeight="1" x14ac:dyDescent="0.2">
      <c r="A606" s="621" t="s">
        <v>646</v>
      </c>
      <c r="B606" s="621"/>
      <c r="C606" s="621"/>
      <c r="D606" s="621"/>
      <c r="E606" s="621"/>
      <c r="F606" s="621"/>
      <c r="G606" s="621"/>
      <c r="H606" s="621"/>
      <c r="I606" s="621"/>
    </row>
    <row r="607" spans="1:12" s="17" customFormat="1" ht="16.5" customHeight="1" x14ac:dyDescent="0.2">
      <c r="A607" s="145"/>
      <c r="B607" s="145"/>
      <c r="C607" s="145"/>
      <c r="D607" s="145"/>
      <c r="E607" s="145"/>
      <c r="F607" s="145"/>
      <c r="G607" s="145"/>
      <c r="H607" s="145"/>
      <c r="I607" s="257">
        <v>10</v>
      </c>
    </row>
    <row r="608" spans="1:12" s="17" customFormat="1" ht="16.5" customHeight="1" x14ac:dyDescent="0.25">
      <c r="A608" s="145"/>
      <c r="B608" s="145"/>
      <c r="C608" s="145"/>
      <c r="D608" s="145"/>
      <c r="E608" s="145"/>
      <c r="F608" s="145"/>
      <c r="G608" s="145"/>
      <c r="H608" s="145"/>
      <c r="I608" s="145"/>
      <c r="L608"/>
    </row>
    <row r="609" spans="1:12" s="17" customFormat="1" ht="16.5" customHeight="1" x14ac:dyDescent="0.25">
      <c r="A609" s="145"/>
      <c r="B609" s="145"/>
      <c r="C609" s="145"/>
      <c r="D609" s="605" t="s">
        <v>84</v>
      </c>
      <c r="E609" s="605"/>
      <c r="F609" s="605"/>
      <c r="G609" s="145"/>
      <c r="H609" s="145"/>
      <c r="I609" s="15"/>
      <c r="L609"/>
    </row>
    <row r="610" spans="1:12" s="17" customFormat="1" ht="16.5" customHeight="1" x14ac:dyDescent="0.2">
      <c r="A610" s="145"/>
      <c r="B610" s="145"/>
      <c r="C610" s="145"/>
      <c r="D610" s="144"/>
      <c r="E610" s="144"/>
      <c r="F610" s="144"/>
      <c r="G610" s="145"/>
      <c r="H610" s="145"/>
      <c r="I610" s="15"/>
    </row>
    <row r="611" spans="1:12" s="17" customFormat="1" ht="16.5" customHeight="1" x14ac:dyDescent="0.2">
      <c r="A611" s="26" t="s">
        <v>48</v>
      </c>
      <c r="B611" s="615" t="s">
        <v>49</v>
      </c>
      <c r="C611" s="616"/>
      <c r="D611" s="411" t="s">
        <v>85</v>
      </c>
      <c r="E611" s="409" t="s">
        <v>152</v>
      </c>
      <c r="F611" s="42" t="s">
        <v>86</v>
      </c>
      <c r="G611" s="619" t="s">
        <v>52</v>
      </c>
      <c r="H611" s="620"/>
      <c r="I611" s="613" t="s">
        <v>53</v>
      </c>
    </row>
    <row r="612" spans="1:12" s="17" customFormat="1" ht="16.5" customHeight="1" x14ac:dyDescent="0.2">
      <c r="A612" s="27" t="s">
        <v>54</v>
      </c>
      <c r="B612" s="617"/>
      <c r="C612" s="618"/>
      <c r="D612" s="412" t="s">
        <v>579</v>
      </c>
      <c r="E612" s="44" t="s">
        <v>571</v>
      </c>
      <c r="F612" s="44" t="s">
        <v>571</v>
      </c>
      <c r="G612" s="29" t="s">
        <v>55</v>
      </c>
      <c r="H612" s="29" t="s">
        <v>56</v>
      </c>
      <c r="I612" s="614"/>
    </row>
    <row r="613" spans="1:12" s="17" customFormat="1" ht="16.5" customHeight="1" x14ac:dyDescent="0.2">
      <c r="A613" s="212">
        <v>1</v>
      </c>
      <c r="B613" s="730">
        <v>2</v>
      </c>
      <c r="C613" s="731"/>
      <c r="D613" s="213">
        <v>3</v>
      </c>
      <c r="E613" s="214">
        <v>4</v>
      </c>
      <c r="F613" s="213">
        <v>5</v>
      </c>
      <c r="G613" s="213">
        <v>6</v>
      </c>
      <c r="H613" s="213">
        <v>7</v>
      </c>
      <c r="I613" s="215">
        <v>8</v>
      </c>
    </row>
    <row r="614" spans="1:12" s="17" customFormat="1" ht="16.5" customHeight="1" x14ac:dyDescent="0.2">
      <c r="A614" s="374">
        <v>16019</v>
      </c>
      <c r="B614" s="728" t="s">
        <v>57</v>
      </c>
      <c r="C614" s="729"/>
      <c r="D614" s="382">
        <v>148006.38</v>
      </c>
      <c r="E614" s="386">
        <v>197148</v>
      </c>
      <c r="F614" s="382">
        <v>197148</v>
      </c>
      <c r="G614" s="383">
        <f t="shared" ref="G614:G646" si="24">F614/D614</f>
        <v>1.3320236600611406</v>
      </c>
      <c r="H614" s="383">
        <f t="shared" ref="H614:H646" si="25">F614/E614</f>
        <v>1</v>
      </c>
      <c r="I614" s="384">
        <f>F614/F646</f>
        <v>9.3396105526604763E-3</v>
      </c>
    </row>
    <row r="615" spans="1:12" s="17" customFormat="1" ht="16.5" customHeight="1" x14ac:dyDescent="0.2">
      <c r="A615" s="374">
        <v>163</v>
      </c>
      <c r="B615" s="728" t="s">
        <v>17</v>
      </c>
      <c r="C615" s="729"/>
      <c r="D615" s="391">
        <f>D616+D617+D618</f>
        <v>346337.48</v>
      </c>
      <c r="E615" s="391">
        <f>+E616+E617+E618</f>
        <v>399204.67000000004</v>
      </c>
      <c r="F615" s="391">
        <f>F616+F617+F618</f>
        <v>399204.67000000004</v>
      </c>
      <c r="G615" s="383">
        <f t="shared" si="24"/>
        <v>1.1526464591704024</v>
      </c>
      <c r="H615" s="383">
        <f t="shared" si="25"/>
        <v>1</v>
      </c>
      <c r="I615" s="385">
        <f>F615/F646</f>
        <v>1.8911762475923386E-2</v>
      </c>
    </row>
    <row r="616" spans="1:12" s="17" customFormat="1" ht="16.5" customHeight="1" x14ac:dyDescent="0.2">
      <c r="A616" s="250">
        <v>16319</v>
      </c>
      <c r="B616" s="648" t="s">
        <v>166</v>
      </c>
      <c r="C616" s="649"/>
      <c r="D616" s="179">
        <v>338572</v>
      </c>
      <c r="E616" s="179">
        <v>383174.21</v>
      </c>
      <c r="F616" s="179">
        <v>383174.21</v>
      </c>
      <c r="G616" s="165">
        <f t="shared" si="24"/>
        <v>1.1317362628923833</v>
      </c>
      <c r="H616" s="165">
        <f t="shared" si="25"/>
        <v>1</v>
      </c>
      <c r="I616" s="81">
        <f>F616/F615</f>
        <v>0.95984400683488991</v>
      </c>
    </row>
    <row r="617" spans="1:12" s="17" customFormat="1" ht="16.5" customHeight="1" x14ac:dyDescent="0.2">
      <c r="A617" s="250">
        <v>16519</v>
      </c>
      <c r="B617" s="648" t="s">
        <v>167</v>
      </c>
      <c r="C617" s="649"/>
      <c r="D617" s="179">
        <v>0</v>
      </c>
      <c r="E617" s="6">
        <v>3490.76</v>
      </c>
      <c r="F617" s="179">
        <v>3490.76</v>
      </c>
      <c r="G617" s="165" t="e">
        <f t="shared" si="24"/>
        <v>#DIV/0!</v>
      </c>
      <c r="H617" s="165">
        <f t="shared" si="25"/>
        <v>1</v>
      </c>
      <c r="I617" s="81">
        <f>F617/F615</f>
        <v>8.74428648342215E-3</v>
      </c>
    </row>
    <row r="618" spans="1:12" s="17" customFormat="1" ht="16.5" customHeight="1" x14ac:dyDescent="0.2">
      <c r="A618" s="250">
        <v>16559</v>
      </c>
      <c r="B618" s="648" t="s">
        <v>168</v>
      </c>
      <c r="C618" s="649"/>
      <c r="D618" s="179">
        <v>7765.48</v>
      </c>
      <c r="E618" s="6">
        <v>12539.7</v>
      </c>
      <c r="F618" s="179">
        <v>12539.7</v>
      </c>
      <c r="G618" s="165">
        <f t="shared" si="24"/>
        <v>1.6148003729325169</v>
      </c>
      <c r="H618" s="165">
        <f t="shared" si="25"/>
        <v>1</v>
      </c>
      <c r="I618" s="81">
        <f>F618/F615</f>
        <v>3.1411706681687863E-2</v>
      </c>
    </row>
    <row r="619" spans="1:12" s="17" customFormat="1" ht="16.5" customHeight="1" x14ac:dyDescent="0.2">
      <c r="A619" s="374">
        <v>16637</v>
      </c>
      <c r="B619" s="728" t="s">
        <v>63</v>
      </c>
      <c r="C619" s="729"/>
      <c r="D619" s="382">
        <v>209434.98</v>
      </c>
      <c r="E619" s="386">
        <v>223515.85</v>
      </c>
      <c r="F619" s="382">
        <v>223515.85</v>
      </c>
      <c r="G619" s="383">
        <f t="shared" si="24"/>
        <v>1.0672326561685159</v>
      </c>
      <c r="H619" s="383">
        <f t="shared" si="25"/>
        <v>1</v>
      </c>
      <c r="I619" s="385">
        <f>F619/F646</f>
        <v>1.0588750539426605E-2</v>
      </c>
    </row>
    <row r="620" spans="1:12" s="17" customFormat="1" ht="16.5" customHeight="1" x14ac:dyDescent="0.2">
      <c r="A620" s="374">
        <v>16795</v>
      </c>
      <c r="B620" s="728" t="s">
        <v>64</v>
      </c>
      <c r="C620" s="729"/>
      <c r="D620" s="382">
        <v>23740.13</v>
      </c>
      <c r="E620" s="386">
        <v>28859.439999999999</v>
      </c>
      <c r="F620" s="382">
        <v>28859.439999999999</v>
      </c>
      <c r="G620" s="383">
        <f t="shared" si="24"/>
        <v>1.2156395099774095</v>
      </c>
      <c r="H620" s="383">
        <f t="shared" si="25"/>
        <v>1</v>
      </c>
      <c r="I620" s="385">
        <f>F620/F646</f>
        <v>1.3671755755466546E-3</v>
      </c>
    </row>
    <row r="621" spans="1:12" s="17" customFormat="1" ht="16.5" customHeight="1" x14ac:dyDescent="0.2">
      <c r="A621" s="374">
        <v>16919</v>
      </c>
      <c r="B621" s="728" t="s">
        <v>65</v>
      </c>
      <c r="C621" s="729"/>
      <c r="D621" s="382">
        <v>254973.12</v>
      </c>
      <c r="E621" s="386">
        <v>233408.61</v>
      </c>
      <c r="F621" s="382">
        <v>233408.61</v>
      </c>
      <c r="G621" s="383">
        <f t="shared" si="24"/>
        <v>0.91542437885217076</v>
      </c>
      <c r="H621" s="383">
        <f t="shared" si="25"/>
        <v>1</v>
      </c>
      <c r="I621" s="385">
        <f>F621/F646</f>
        <v>1.1057406197566365E-2</v>
      </c>
    </row>
    <row r="622" spans="1:12" s="17" customFormat="1" ht="16.5" customHeight="1" x14ac:dyDescent="0.2">
      <c r="A622" s="374">
        <v>17519</v>
      </c>
      <c r="B622" s="728" t="s">
        <v>25</v>
      </c>
      <c r="C622" s="729"/>
      <c r="D622" s="382">
        <v>234787.76</v>
      </c>
      <c r="E622" s="386">
        <v>238108.2</v>
      </c>
      <c r="F622" s="382">
        <v>237211.2</v>
      </c>
      <c r="G622" s="383">
        <f>F622/D622</f>
        <v>1.0103218327906021</v>
      </c>
      <c r="H622" s="383">
        <f>F622/E622</f>
        <v>0.99623280508609113</v>
      </c>
      <c r="I622" s="385">
        <f>F622/F646</f>
        <v>1.1237548576344954E-2</v>
      </c>
    </row>
    <row r="623" spans="1:12" s="17" customFormat="1" ht="16.5" customHeight="1" x14ac:dyDescent="0.2">
      <c r="A623" s="374">
        <v>180</v>
      </c>
      <c r="B623" s="728" t="s">
        <v>26</v>
      </c>
      <c r="C623" s="729"/>
      <c r="D623" s="386">
        <f>D624+D625</f>
        <v>423816.67000000004</v>
      </c>
      <c r="E623" s="386">
        <f>E624+E625</f>
        <v>474750.2</v>
      </c>
      <c r="F623" s="386">
        <f>F624+F625</f>
        <v>474750.2</v>
      </c>
      <c r="G623" s="383">
        <f t="shared" si="24"/>
        <v>1.1201782129051223</v>
      </c>
      <c r="H623" s="383">
        <f t="shared" si="25"/>
        <v>1</v>
      </c>
      <c r="I623" s="385">
        <f>F623/F646</f>
        <v>2.249062621886944E-2</v>
      </c>
    </row>
    <row r="624" spans="1:12" s="17" customFormat="1" ht="16.5" customHeight="1" x14ac:dyDescent="0.2">
      <c r="A624" s="250">
        <v>18019</v>
      </c>
      <c r="B624" s="648" t="s">
        <v>170</v>
      </c>
      <c r="C624" s="649"/>
      <c r="D624" s="167">
        <v>89487.16</v>
      </c>
      <c r="E624" s="6">
        <v>124151.12</v>
      </c>
      <c r="F624" s="167">
        <v>124151.12</v>
      </c>
      <c r="G624" s="165">
        <f t="shared" si="24"/>
        <v>1.3873623880789154</v>
      </c>
      <c r="H624" s="165">
        <f t="shared" si="25"/>
        <v>1</v>
      </c>
      <c r="I624" s="81">
        <f>F624/F623</f>
        <v>0.26150830478849718</v>
      </c>
    </row>
    <row r="625" spans="1:9" s="17" customFormat="1" ht="16.5" customHeight="1" x14ac:dyDescent="0.2">
      <c r="A625" s="250">
        <v>18295</v>
      </c>
      <c r="B625" s="648" t="s">
        <v>171</v>
      </c>
      <c r="C625" s="649"/>
      <c r="D625" s="167">
        <v>334329.51</v>
      </c>
      <c r="E625" s="6">
        <v>350599.08</v>
      </c>
      <c r="F625" s="167">
        <v>350599.08</v>
      </c>
      <c r="G625" s="165">
        <f t="shared" si="24"/>
        <v>1.048663278332804</v>
      </c>
      <c r="H625" s="165">
        <f t="shared" si="25"/>
        <v>1</v>
      </c>
      <c r="I625" s="81">
        <f>F625/F623</f>
        <v>0.73849169521150282</v>
      </c>
    </row>
    <row r="626" spans="1:9" s="17" customFormat="1" ht="16.5" customHeight="1" x14ac:dyDescent="0.2">
      <c r="A626" s="374">
        <v>19595</v>
      </c>
      <c r="B626" s="728" t="s">
        <v>172</v>
      </c>
      <c r="C626" s="729"/>
      <c r="D626" s="382">
        <v>61501.06</v>
      </c>
      <c r="E626" s="386">
        <v>47732.37</v>
      </c>
      <c r="F626" s="382">
        <v>47732.37</v>
      </c>
      <c r="G626" s="383">
        <f t="shared" si="24"/>
        <v>0.77612272048644371</v>
      </c>
      <c r="H626" s="383">
        <f t="shared" si="25"/>
        <v>1</v>
      </c>
      <c r="I626" s="385">
        <f>F626/F646</f>
        <v>2.2612542179250837E-3</v>
      </c>
    </row>
    <row r="627" spans="1:9" s="17" customFormat="1" ht="16.5" customHeight="1" x14ac:dyDescent="0.2">
      <c r="A627" s="374">
        <v>47019</v>
      </c>
      <c r="B627" s="728" t="s">
        <v>70</v>
      </c>
      <c r="C627" s="729"/>
      <c r="D627" s="382">
        <v>143982.79</v>
      </c>
      <c r="E627" s="386">
        <v>148724.04999999999</v>
      </c>
      <c r="F627" s="382">
        <v>148724.04999999999</v>
      </c>
      <c r="G627" s="383">
        <f t="shared" si="24"/>
        <v>1.0329293521816043</v>
      </c>
      <c r="H627" s="383">
        <f t="shared" si="25"/>
        <v>1</v>
      </c>
      <c r="I627" s="385">
        <f>F627/F646</f>
        <v>7.0455937002374073E-3</v>
      </c>
    </row>
    <row r="628" spans="1:9" s="17" customFormat="1" ht="16.5" customHeight="1" x14ac:dyDescent="0.2">
      <c r="A628" s="374">
        <v>48019</v>
      </c>
      <c r="B628" s="728" t="s">
        <v>71</v>
      </c>
      <c r="C628" s="729"/>
      <c r="D628" s="382">
        <v>74257.25</v>
      </c>
      <c r="E628" s="386">
        <v>87154.17</v>
      </c>
      <c r="F628" s="382">
        <v>87154.15</v>
      </c>
      <c r="G628" s="383">
        <f t="shared" si="24"/>
        <v>1.173678664372839</v>
      </c>
      <c r="H628" s="383">
        <f t="shared" si="25"/>
        <v>0.99999977052159406</v>
      </c>
      <c r="I628" s="385">
        <f>F628/F646</f>
        <v>4.128805866902804E-3</v>
      </c>
    </row>
    <row r="629" spans="1:9" s="17" customFormat="1" ht="16.5" customHeight="1" x14ac:dyDescent="0.2">
      <c r="A629" s="374">
        <v>650</v>
      </c>
      <c r="B629" s="728" t="s">
        <v>31</v>
      </c>
      <c r="C629" s="729"/>
      <c r="D629" s="386">
        <f>D630+D631</f>
        <v>168093.19</v>
      </c>
      <c r="E629" s="386">
        <f>E630+E631</f>
        <v>176624.64000000001</v>
      </c>
      <c r="F629" s="386">
        <f>F630+F631</f>
        <v>176624.64000000001</v>
      </c>
      <c r="G629" s="383">
        <f t="shared" si="24"/>
        <v>1.0507542869523745</v>
      </c>
      <c r="H629" s="383">
        <f t="shared" si="25"/>
        <v>1</v>
      </c>
      <c r="I629" s="385">
        <f>F629/F646</f>
        <v>8.3673450991329258E-3</v>
      </c>
    </row>
    <row r="630" spans="1:9" s="17" customFormat="1" ht="16.5" customHeight="1" x14ac:dyDescent="0.2">
      <c r="A630" s="250">
        <v>65095</v>
      </c>
      <c r="B630" s="648" t="s">
        <v>173</v>
      </c>
      <c r="C630" s="649"/>
      <c r="D630" s="167">
        <v>127701.71</v>
      </c>
      <c r="E630" s="6">
        <v>133726.72</v>
      </c>
      <c r="F630" s="167">
        <v>133726.72</v>
      </c>
      <c r="G630" s="165">
        <f t="shared" si="24"/>
        <v>1.0471803392452614</v>
      </c>
      <c r="H630" s="165">
        <f t="shared" si="25"/>
        <v>1</v>
      </c>
      <c r="I630" s="81">
        <f>F630/F629</f>
        <v>0.75712380786735078</v>
      </c>
    </row>
    <row r="631" spans="1:9" s="17" customFormat="1" ht="16.5" customHeight="1" x14ac:dyDescent="0.2">
      <c r="A631" s="250">
        <v>65495</v>
      </c>
      <c r="B631" s="648" t="s">
        <v>174</v>
      </c>
      <c r="C631" s="649"/>
      <c r="D631" s="180">
        <v>40391.480000000003</v>
      </c>
      <c r="E631" s="498">
        <v>42897.919999999998</v>
      </c>
      <c r="F631" s="180">
        <v>42897.919999999998</v>
      </c>
      <c r="G631" s="165">
        <f t="shared" si="24"/>
        <v>1.0620536806276966</v>
      </c>
      <c r="H631" s="165">
        <f t="shared" si="25"/>
        <v>1</v>
      </c>
      <c r="I631" s="81">
        <f>F631/F629</f>
        <v>0.24287619213264919</v>
      </c>
    </row>
    <row r="632" spans="1:9" s="17" customFormat="1" ht="16.5" customHeight="1" x14ac:dyDescent="0.2">
      <c r="A632" s="374">
        <v>66100</v>
      </c>
      <c r="B632" s="728" t="s">
        <v>73</v>
      </c>
      <c r="C632" s="729"/>
      <c r="D632" s="392">
        <v>111611.17</v>
      </c>
      <c r="E632" s="499">
        <v>108550.14</v>
      </c>
      <c r="F632" s="392">
        <v>108550.14</v>
      </c>
      <c r="G632" s="383">
        <f t="shared" si="24"/>
        <v>0.97257416081204062</v>
      </c>
      <c r="H632" s="383">
        <f t="shared" si="25"/>
        <v>1</v>
      </c>
      <c r="I632" s="385">
        <f>F632/F646</f>
        <v>5.1424109452633156E-3</v>
      </c>
    </row>
    <row r="633" spans="1:9" s="17" customFormat="1" ht="16.5" customHeight="1" x14ac:dyDescent="0.2">
      <c r="A633" s="150">
        <v>730</v>
      </c>
      <c r="B633" s="728" t="s">
        <v>74</v>
      </c>
      <c r="C633" s="729"/>
      <c r="D633" s="387">
        <f>D634+D635</f>
        <v>3115557.05</v>
      </c>
      <c r="E633" s="387">
        <f>E634+E635</f>
        <v>3352290.6</v>
      </c>
      <c r="F633" s="387">
        <f>F634+F635</f>
        <v>3352290.6</v>
      </c>
      <c r="G633" s="383">
        <f t="shared" si="24"/>
        <v>1.0759843412271974</v>
      </c>
      <c r="H633" s="383">
        <f t="shared" si="25"/>
        <v>1</v>
      </c>
      <c r="I633" s="388">
        <f>F633/F646</f>
        <v>0.15881007498602331</v>
      </c>
    </row>
    <row r="634" spans="1:9" s="17" customFormat="1" ht="16.5" customHeight="1" x14ac:dyDescent="0.2">
      <c r="A634" s="399">
        <v>73028</v>
      </c>
      <c r="B634" s="648" t="s">
        <v>175</v>
      </c>
      <c r="C634" s="649"/>
      <c r="D634" s="180">
        <v>32367.73</v>
      </c>
      <c r="E634" s="180">
        <v>33228.870000000003</v>
      </c>
      <c r="F634" s="180">
        <v>33228.870000000003</v>
      </c>
      <c r="G634" s="165">
        <f t="shared" si="24"/>
        <v>1.0266048932069072</v>
      </c>
      <c r="H634" s="165">
        <f t="shared" si="25"/>
        <v>1</v>
      </c>
      <c r="I634" s="81">
        <f>F634/F633</f>
        <v>9.9122880337402727E-3</v>
      </c>
    </row>
    <row r="635" spans="1:9" s="17" customFormat="1" ht="16.5" customHeight="1" x14ac:dyDescent="0.2">
      <c r="A635" s="250">
        <v>74100</v>
      </c>
      <c r="B635" s="648" t="s">
        <v>176</v>
      </c>
      <c r="C635" s="649"/>
      <c r="D635" s="218">
        <v>3083189.32</v>
      </c>
      <c r="E635" s="180">
        <v>3319061.73</v>
      </c>
      <c r="F635" s="218">
        <v>3319061.73</v>
      </c>
      <c r="G635" s="165">
        <f t="shared" si="24"/>
        <v>1.0765027332152279</v>
      </c>
      <c r="H635" s="165">
        <f t="shared" si="25"/>
        <v>1</v>
      </c>
      <c r="I635" s="81">
        <f>F635/F633</f>
        <v>0.99008771196625966</v>
      </c>
    </row>
    <row r="636" spans="1:9" s="17" customFormat="1" ht="16.5" customHeight="1" x14ac:dyDescent="0.2">
      <c r="A636" s="374">
        <v>75591</v>
      </c>
      <c r="B636" s="728" t="s">
        <v>177</v>
      </c>
      <c r="C636" s="729"/>
      <c r="D636" s="393">
        <v>130232.88</v>
      </c>
      <c r="E636" s="387">
        <v>134216.07</v>
      </c>
      <c r="F636" s="393">
        <v>134216.07</v>
      </c>
      <c r="G636" s="383">
        <f t="shared" si="24"/>
        <v>1.030585133339599</v>
      </c>
      <c r="H636" s="383">
        <f t="shared" si="25"/>
        <v>1</v>
      </c>
      <c r="I636" s="385">
        <f>F636/F646</f>
        <v>6.3582984545043179E-3</v>
      </c>
    </row>
    <row r="637" spans="1:9" s="17" customFormat="1" ht="16.5" customHeight="1" x14ac:dyDescent="0.2">
      <c r="A637" s="374">
        <v>75592</v>
      </c>
      <c r="B637" s="403" t="s">
        <v>543</v>
      </c>
      <c r="C637" s="404"/>
      <c r="D637" s="393">
        <v>0</v>
      </c>
      <c r="E637" s="387">
        <v>0</v>
      </c>
      <c r="F637" s="393">
        <v>0</v>
      </c>
      <c r="G637" s="383" t="e">
        <f t="shared" si="24"/>
        <v>#DIV/0!</v>
      </c>
      <c r="H637" s="383" t="e">
        <f t="shared" si="25"/>
        <v>#DIV/0!</v>
      </c>
      <c r="I637" s="385">
        <f>F637/F646</f>
        <v>0</v>
      </c>
    </row>
    <row r="638" spans="1:9" s="17" customFormat="1" ht="16.5" customHeight="1" x14ac:dyDescent="0.2">
      <c r="A638" s="374">
        <v>850</v>
      </c>
      <c r="B638" s="728" t="s">
        <v>40</v>
      </c>
      <c r="C638" s="729"/>
      <c r="D638" s="394">
        <f>D639+D640</f>
        <v>391010.55000000005</v>
      </c>
      <c r="E638" s="394">
        <f>E639+E640</f>
        <v>381500.03</v>
      </c>
      <c r="F638" s="394">
        <f>F639+F640</f>
        <v>381500.03</v>
      </c>
      <c r="G638" s="383">
        <f>F638/D638</f>
        <v>0.97567707572084683</v>
      </c>
      <c r="H638" s="383">
        <f>F638/E638</f>
        <v>1</v>
      </c>
      <c r="I638" s="395">
        <f>F638/F646</f>
        <v>1.8073029937043687E-2</v>
      </c>
    </row>
    <row r="639" spans="1:9" s="17" customFormat="1" ht="16.5" customHeight="1" x14ac:dyDescent="0.2">
      <c r="A639" s="216">
        <v>85019</v>
      </c>
      <c r="B639" s="389" t="s">
        <v>377</v>
      </c>
      <c r="C639" s="373"/>
      <c r="D639" s="396">
        <v>242352.2</v>
      </c>
      <c r="E639" s="396">
        <v>233538.79</v>
      </c>
      <c r="F639" s="396">
        <v>233538.79</v>
      </c>
      <c r="G639" s="165">
        <f>F639/D639</f>
        <v>0.96363387664729261</v>
      </c>
      <c r="H639" s="165">
        <f>F639/E639</f>
        <v>1</v>
      </c>
      <c r="I639" s="397">
        <f>F639/F638</f>
        <v>0.61215929655365953</v>
      </c>
    </row>
    <row r="640" spans="1:9" s="17" customFormat="1" ht="16.5" customHeight="1" x14ac:dyDescent="0.2">
      <c r="A640" s="216">
        <v>85184</v>
      </c>
      <c r="B640" s="648" t="s">
        <v>378</v>
      </c>
      <c r="C640" s="649"/>
      <c r="D640" s="396">
        <v>148658.35</v>
      </c>
      <c r="E640" s="396">
        <v>147961.24</v>
      </c>
      <c r="F640" s="396">
        <v>147961.24</v>
      </c>
      <c r="G640" s="165">
        <f>F640/D640</f>
        <v>0.99531065695267018</v>
      </c>
      <c r="H640" s="165">
        <f>F640/E640</f>
        <v>1</v>
      </c>
      <c r="I640" s="398">
        <f>F640/F638</f>
        <v>0.38784070344634042</v>
      </c>
    </row>
    <row r="641" spans="1:12" s="17" customFormat="1" ht="16.5" customHeight="1" x14ac:dyDescent="0.2">
      <c r="A641" s="374">
        <v>920</v>
      </c>
      <c r="B641" s="728" t="s">
        <v>78</v>
      </c>
      <c r="C641" s="729"/>
      <c r="D641" s="386">
        <f>D642+D643+D644+D645</f>
        <v>13453762.279999999</v>
      </c>
      <c r="E641" s="386">
        <f>E642+E643+E644+E645</f>
        <v>14886694.33</v>
      </c>
      <c r="F641" s="386">
        <f>F642+F643+F644+F645</f>
        <v>14877913.060000001</v>
      </c>
      <c r="G641" s="383">
        <f t="shared" si="24"/>
        <v>1.105855206176573</v>
      </c>
      <c r="H641" s="383">
        <f t="shared" si="25"/>
        <v>0.99941012626407577</v>
      </c>
      <c r="I641" s="385">
        <f>F641/F646</f>
        <v>0.7048203066566292</v>
      </c>
    </row>
    <row r="642" spans="1:12" s="17" customFormat="1" ht="16.5" customHeight="1" x14ac:dyDescent="0.2">
      <c r="A642" s="250">
        <v>92095</v>
      </c>
      <c r="B642" s="648" t="s">
        <v>178</v>
      </c>
      <c r="C642" s="649"/>
      <c r="D642" s="6">
        <v>98201.94</v>
      </c>
      <c r="E642" s="6">
        <v>109502.03</v>
      </c>
      <c r="F642" s="6">
        <v>109502.03</v>
      </c>
      <c r="G642" s="165">
        <f t="shared" si="24"/>
        <v>1.115069926317138</v>
      </c>
      <c r="H642" s="165">
        <f t="shared" si="25"/>
        <v>1</v>
      </c>
      <c r="I642" s="81">
        <f>F642/F641</f>
        <v>7.3600396479262661E-3</v>
      </c>
    </row>
    <row r="643" spans="1:12" s="17" customFormat="1" ht="16.5" customHeight="1" x14ac:dyDescent="0.2">
      <c r="A643" s="250">
        <v>92570</v>
      </c>
      <c r="B643" s="648" t="s">
        <v>179</v>
      </c>
      <c r="C643" s="649"/>
      <c r="D643" s="6">
        <v>471417.5</v>
      </c>
      <c r="E643" s="463">
        <v>516886.17</v>
      </c>
      <c r="F643" s="6">
        <v>514296.45</v>
      </c>
      <c r="G643" s="165">
        <f t="shared" si="24"/>
        <v>1.0909574846075931</v>
      </c>
      <c r="H643" s="165">
        <f t="shared" si="25"/>
        <v>0.9949897672828043</v>
      </c>
      <c r="I643" s="81">
        <f>F643/F641</f>
        <v>3.4567781645579797E-2</v>
      </c>
    </row>
    <row r="644" spans="1:12" s="17" customFormat="1" ht="16.5" customHeight="1" x14ac:dyDescent="0.2">
      <c r="A644" s="250">
        <v>93540</v>
      </c>
      <c r="B644" s="648" t="s">
        <v>180</v>
      </c>
      <c r="C644" s="649"/>
      <c r="D644" s="6">
        <v>8813727.9199999999</v>
      </c>
      <c r="E644" s="463">
        <v>10895796.9</v>
      </c>
      <c r="F644" s="6">
        <v>10890218.4</v>
      </c>
      <c r="G644" s="165">
        <f t="shared" si="24"/>
        <v>1.2355972976302179</v>
      </c>
      <c r="H644" s="165">
        <f t="shared" si="25"/>
        <v>0.99948801358439421</v>
      </c>
      <c r="I644" s="81">
        <f>F644/F641</f>
        <v>0.73197217621057931</v>
      </c>
    </row>
    <row r="645" spans="1:12" s="17" customFormat="1" ht="16.5" customHeight="1" x14ac:dyDescent="0.2">
      <c r="A645" s="250">
        <v>94740</v>
      </c>
      <c r="B645" s="648" t="s">
        <v>181</v>
      </c>
      <c r="C645" s="649"/>
      <c r="D645" s="6">
        <v>4070414.92</v>
      </c>
      <c r="E645" s="463">
        <v>3364509.23</v>
      </c>
      <c r="F645" s="6">
        <v>3363896.18</v>
      </c>
      <c r="G645" s="165">
        <f t="shared" si="24"/>
        <v>0.82642586716933519</v>
      </c>
      <c r="H645" s="165">
        <f t="shared" si="25"/>
        <v>0.99981778917574859</v>
      </c>
      <c r="I645" s="81">
        <f>F645/F641</f>
        <v>0.22610000249591458</v>
      </c>
    </row>
    <row r="646" spans="1:12" s="17" customFormat="1" ht="16.5" customHeight="1" x14ac:dyDescent="0.2">
      <c r="A646" s="182"/>
      <c r="B646" s="183" t="s">
        <v>83</v>
      </c>
      <c r="C646" s="184"/>
      <c r="D646" s="417">
        <f>D614+D615+D619+D620+D621+D622+D623+D626+D627+D628+D629+D632+D633+D636+D638+D641</f>
        <v>19291104.739999998</v>
      </c>
      <c r="E646" s="417">
        <f>E614+E615+E619+E620+E621+E622+E623+E626+E627+E628+E629+E632+E633+E636+E637+E638+E641</f>
        <v>21118481.370000001</v>
      </c>
      <c r="F646" s="417">
        <f>F614+F615+F619+F620+F621+F622+F623+F626+F627+F628+F629+F632+F633+F636+F638+F641</f>
        <v>21108803.080000002</v>
      </c>
      <c r="G646" s="170">
        <f t="shared" si="24"/>
        <v>1.0942246887619149</v>
      </c>
      <c r="H646" s="170">
        <f t="shared" si="25"/>
        <v>0.99954171467964792</v>
      </c>
      <c r="I646" s="52">
        <f>I614+I615+I619+I620+I621+I622+I623+I626+I627+I628+I629+I632+I633+I636+I637+I638+I641</f>
        <v>1</v>
      </c>
    </row>
    <row r="647" spans="1:12" s="17" customFormat="1" ht="16.5" customHeight="1" x14ac:dyDescent="0.2">
      <c r="A647" s="219"/>
      <c r="B647" s="220"/>
      <c r="C647" s="221"/>
      <c r="D647" s="221"/>
      <c r="E647" s="221"/>
      <c r="F647" s="222"/>
      <c r="G647" s="223"/>
      <c r="H647" s="223"/>
      <c r="I647" s="171"/>
    </row>
    <row r="648" spans="1:12" s="17" customFormat="1" ht="16.5" customHeight="1" x14ac:dyDescent="0.25">
      <c r="A648" s="224"/>
      <c r="B648" s="732" t="s">
        <v>198</v>
      </c>
      <c r="C648" s="732"/>
      <c r="D648" s="732"/>
      <c r="E648" s="732"/>
      <c r="F648" s="732"/>
      <c r="G648" s="732"/>
      <c r="H648" s="732"/>
      <c r="I648" s="732"/>
      <c r="L648"/>
    </row>
    <row r="649" spans="1:12" s="17" customFormat="1" ht="16.5" customHeight="1" x14ac:dyDescent="0.25">
      <c r="L649"/>
    </row>
    <row r="650" spans="1:12" s="17" customFormat="1" ht="16.5" customHeight="1" x14ac:dyDescent="0.25">
      <c r="L650"/>
    </row>
    <row r="651" spans="1:12" s="17" customFormat="1" ht="16.5" customHeight="1" x14ac:dyDescent="0.25">
      <c r="L651"/>
    </row>
    <row r="652" spans="1:12" s="17" customFormat="1" ht="16.5" customHeight="1" x14ac:dyDescent="0.25">
      <c r="E652" s="452"/>
      <c r="L652"/>
    </row>
    <row r="653" spans="1:12" s="17" customFormat="1" ht="16.5" customHeight="1" x14ac:dyDescent="0.25">
      <c r="L653"/>
    </row>
    <row r="654" spans="1:12" s="17" customFormat="1" ht="16.5" customHeight="1" x14ac:dyDescent="0.25">
      <c r="L654"/>
    </row>
    <row r="655" spans="1:12" s="17" customFormat="1" ht="16.5" customHeight="1" x14ac:dyDescent="0.25">
      <c r="L655"/>
    </row>
    <row r="656" spans="1:12" s="17" customFormat="1" ht="16.5" customHeight="1" x14ac:dyDescent="0.25">
      <c r="L656"/>
    </row>
    <row r="657" spans="1:13" s="17" customFormat="1" ht="16.5" customHeight="1" x14ac:dyDescent="0.25">
      <c r="L657"/>
    </row>
    <row r="658" spans="1:13" s="17" customFormat="1" ht="16.5" customHeight="1" x14ac:dyDescent="0.25">
      <c r="L658"/>
    </row>
    <row r="659" spans="1:13" s="17" customFormat="1" ht="16.5" customHeight="1" x14ac:dyDescent="0.25">
      <c r="L659"/>
    </row>
    <row r="660" spans="1:13" s="17" customFormat="1" ht="16.5" customHeight="1" x14ac:dyDescent="0.25">
      <c r="L660"/>
    </row>
    <row r="661" spans="1:13" s="17" customFormat="1" ht="16.5" customHeight="1" x14ac:dyDescent="0.25">
      <c r="L661"/>
    </row>
    <row r="662" spans="1:13" s="17" customFormat="1" ht="16.5" customHeight="1" x14ac:dyDescent="0.25">
      <c r="I662" s="441">
        <v>11</v>
      </c>
      <c r="L662"/>
    </row>
    <row r="663" spans="1:13" s="17" customFormat="1" ht="16.5" customHeight="1" x14ac:dyDescent="0.25">
      <c r="I663" s="224"/>
      <c r="M663"/>
    </row>
    <row r="664" spans="1:13" s="17" customFormat="1" ht="16.5" customHeight="1" x14ac:dyDescent="0.25">
      <c r="A664" s="365" t="s">
        <v>405</v>
      </c>
      <c r="B664" s="225"/>
      <c r="C664" s="225"/>
      <c r="D664" s="225"/>
      <c r="E664" s="191"/>
      <c r="F664" s="15"/>
      <c r="G664" s="156"/>
      <c r="H664" s="20"/>
      <c r="I664" s="15"/>
      <c r="M664"/>
    </row>
    <row r="665" spans="1:13" s="17" customFormat="1" ht="16.5" customHeight="1" x14ac:dyDescent="0.25">
      <c r="A665" s="156"/>
      <c r="B665" s="226"/>
      <c r="C665" s="226"/>
      <c r="D665" s="227"/>
      <c r="E665" s="15"/>
      <c r="F665" s="156"/>
      <c r="G665" s="156"/>
      <c r="H665" s="20"/>
      <c r="I665" s="15"/>
      <c r="M665"/>
    </row>
    <row r="666" spans="1:13" s="17" customFormat="1" ht="16.5" customHeight="1" x14ac:dyDescent="0.25">
      <c r="A666" s="156" t="s">
        <v>1051</v>
      </c>
      <c r="B666" s="156"/>
      <c r="C666" s="156"/>
      <c r="D666" s="156"/>
      <c r="E666" s="156"/>
      <c r="F666" s="156"/>
      <c r="G666" s="156"/>
      <c r="H666" s="156"/>
      <c r="I666" s="156"/>
      <c r="M666"/>
    </row>
    <row r="667" spans="1:13" s="17" customFormat="1" ht="16.5" customHeight="1" x14ac:dyDescent="0.2">
      <c r="A667" s="621" t="s">
        <v>1052</v>
      </c>
      <c r="B667" s="621"/>
      <c r="C667" s="621"/>
      <c r="D667" s="621"/>
      <c r="E667" s="621"/>
      <c r="F667" s="621"/>
      <c r="G667" s="621"/>
      <c r="H667" s="621"/>
      <c r="I667" s="621"/>
    </row>
    <row r="668" spans="1:13" s="17" customFormat="1" ht="16.5" customHeight="1" x14ac:dyDescent="0.2">
      <c r="A668" s="145"/>
      <c r="B668" s="145"/>
      <c r="C668" s="145"/>
      <c r="D668" s="145"/>
      <c r="E668" s="145"/>
      <c r="F668" s="145"/>
      <c r="G668" s="145"/>
      <c r="H668" s="145"/>
      <c r="I668" s="145"/>
    </row>
    <row r="669" spans="1:13" s="17" customFormat="1" ht="16.5" customHeight="1" x14ac:dyDescent="0.2">
      <c r="A669" s="621" t="s">
        <v>406</v>
      </c>
      <c r="B669" s="621"/>
      <c r="C669" s="621"/>
      <c r="D669" s="621"/>
      <c r="E669" s="621"/>
      <c r="F669" s="621"/>
      <c r="G669" s="621"/>
      <c r="H669" s="621"/>
      <c r="I669" s="621"/>
    </row>
    <row r="670" spans="1:13" s="17" customFormat="1" ht="16.5" customHeight="1" x14ac:dyDescent="0.2">
      <c r="A670" s="145"/>
      <c r="B670" s="145"/>
      <c r="C670" s="145"/>
      <c r="D670" s="145"/>
      <c r="E670" s="605" t="s">
        <v>84</v>
      </c>
      <c r="F670" s="145"/>
      <c r="G670" s="145"/>
      <c r="H670" s="145"/>
    </row>
    <row r="671" spans="1:13" s="17" customFormat="1" ht="16.5" customHeight="1" x14ac:dyDescent="0.2">
      <c r="A671" s="145"/>
      <c r="B671" s="145"/>
      <c r="C671" s="145"/>
      <c r="D671" s="145"/>
      <c r="E671" s="606"/>
      <c r="F671" s="145"/>
      <c r="G671" s="145"/>
      <c r="H671" s="145"/>
      <c r="I671" s="145"/>
    </row>
    <row r="672" spans="1:13" s="17" customFormat="1" ht="16.5" customHeight="1" x14ac:dyDescent="0.2">
      <c r="A672" s="613" t="s">
        <v>150</v>
      </c>
      <c r="B672" s="615" t="s">
        <v>151</v>
      </c>
      <c r="C672" s="616"/>
      <c r="D672" s="411" t="s">
        <v>85</v>
      </c>
      <c r="E672" s="409" t="s">
        <v>152</v>
      </c>
      <c r="F672" s="42" t="s">
        <v>86</v>
      </c>
      <c r="G672" s="619" t="s">
        <v>52</v>
      </c>
      <c r="H672" s="620"/>
      <c r="I672" s="161" t="s">
        <v>53</v>
      </c>
    </row>
    <row r="673" spans="1:9" s="17" customFormat="1" ht="16.5" customHeight="1" x14ac:dyDescent="0.2">
      <c r="A673" s="614"/>
      <c r="B673" s="617"/>
      <c r="C673" s="618"/>
      <c r="D673" s="412" t="s">
        <v>537</v>
      </c>
      <c r="E673" s="44" t="s">
        <v>571</v>
      </c>
      <c r="F673" s="44" t="s">
        <v>571</v>
      </c>
      <c r="G673" s="29" t="s">
        <v>55</v>
      </c>
      <c r="H673" s="29" t="s">
        <v>56</v>
      </c>
      <c r="I673" s="162"/>
    </row>
    <row r="674" spans="1:9" s="17" customFormat="1" ht="16.5" customHeight="1" x14ac:dyDescent="0.2">
      <c r="A674" s="149">
        <v>1</v>
      </c>
      <c r="B674" s="717">
        <v>2</v>
      </c>
      <c r="C674" s="718"/>
      <c r="D674" s="147">
        <v>3</v>
      </c>
      <c r="E674" s="147">
        <v>4</v>
      </c>
      <c r="F674" s="147">
        <v>5</v>
      </c>
      <c r="G674" s="147">
        <v>6</v>
      </c>
      <c r="H674" s="147">
        <v>7</v>
      </c>
      <c r="I674" s="164">
        <v>8</v>
      </c>
    </row>
    <row r="675" spans="1:9" s="17" customFormat="1" ht="16.5" customHeight="1" x14ac:dyDescent="0.2">
      <c r="A675" s="86">
        <v>10</v>
      </c>
      <c r="B675" s="601" t="s">
        <v>199</v>
      </c>
      <c r="C675" s="602"/>
      <c r="D675" s="167">
        <f>43915.04+799011.37+2560.76+3287.86+61508.75+486.6+18539.3+36941.52+537999.91+45495+8955.72+15971.95+39493.33+4098.64+3994.36+18801.08+4974.16+569529.4+17122.42+201791.42+17150+820382.55+41599.14+223176.05+35961.04</f>
        <v>3572747.3699999996</v>
      </c>
      <c r="E675" s="497">
        <f>47500+1788793.42+6500+2800+73500+1000+54000+32000+600000+46500+13500+24000+22000+6000+4000+16000+5000+620706.58+23700+45000+70000+17000+466000+80000+90000+39912.2</f>
        <v>4195412.2</v>
      </c>
      <c r="F675" s="167">
        <f>47371.22+1788779.42+6499.68+2539+73495.99+970+53458+31507.47+599716.8+46291.02+13338.9+23995.02+21979+5676.13+3964.36+15616.52+4830.44+619318.76+23518.04+44829.31+69757.1+16978.58+462833.44+79730.92+89992.35+39886</f>
        <v>4186873.4699999997</v>
      </c>
      <c r="G675" s="165">
        <f t="shared" ref="G675:G681" si="26">F675/D675</f>
        <v>1.1718918346023441</v>
      </c>
      <c r="H675" s="166">
        <f t="shared" ref="H675:H681" si="27">F675/E675</f>
        <v>0.99796474587169282</v>
      </c>
      <c r="I675" s="166">
        <f>F675/F681</f>
        <v>0.77573513111396375</v>
      </c>
    </row>
    <row r="676" spans="1:9" s="17" customFormat="1" ht="16.5" customHeight="1" x14ac:dyDescent="0.2">
      <c r="A676" s="86">
        <v>21</v>
      </c>
      <c r="B676" s="601" t="s">
        <v>109</v>
      </c>
      <c r="C676" s="602"/>
      <c r="D676" s="167">
        <f>222679.5+17169.84+102000+62912.89+280595.35+73153.68+13600</f>
        <v>772111.26</v>
      </c>
      <c r="E676" s="497">
        <f>580000+18000+82000+45000+150000+50000+15087.8</f>
        <v>940087.8</v>
      </c>
      <c r="F676" s="167">
        <f>571674.75+18000+82000+27038.46+148807.68+50000+14574.06</f>
        <v>912094.95</v>
      </c>
      <c r="G676" s="165">
        <f t="shared" si="26"/>
        <v>1.1812998945255635</v>
      </c>
      <c r="H676" s="166">
        <f t="shared" si="27"/>
        <v>0.97022315362458689</v>
      </c>
      <c r="I676" s="166">
        <f>F676/F681</f>
        <v>0.16899103846733496</v>
      </c>
    </row>
    <row r="677" spans="1:9" s="17" customFormat="1" ht="16.5" customHeight="1" x14ac:dyDescent="0.2">
      <c r="A677" s="86">
        <v>22</v>
      </c>
      <c r="B677" s="601" t="s">
        <v>200</v>
      </c>
      <c r="C677" s="602"/>
      <c r="D677" s="167">
        <f>28167.78+10936</f>
        <v>39103.78</v>
      </c>
      <c r="E677" s="500">
        <f>8365.1+1630.16+87.11+18094.65+236.32+286</f>
        <v>28699.340000000004</v>
      </c>
      <c r="F677" s="167">
        <f>6306.84+1465.61+18094.65</f>
        <v>25867.100000000002</v>
      </c>
      <c r="G677" s="165">
        <f t="shared" si="26"/>
        <v>0.66149870933193677</v>
      </c>
      <c r="H677" s="166">
        <f t="shared" si="27"/>
        <v>0.90131340999479426</v>
      </c>
      <c r="I677" s="166">
        <f>F677/F681</f>
        <v>4.792602010501649E-3</v>
      </c>
    </row>
    <row r="678" spans="1:9" s="17" customFormat="1" ht="16.5" customHeight="1" x14ac:dyDescent="0.2">
      <c r="A678" s="86">
        <v>31</v>
      </c>
      <c r="B678" s="601" t="s">
        <v>201</v>
      </c>
      <c r="C678" s="602"/>
      <c r="D678" s="167">
        <v>0</v>
      </c>
      <c r="E678" s="497">
        <v>0</v>
      </c>
      <c r="F678" s="167">
        <v>0</v>
      </c>
      <c r="G678" s="165" t="e">
        <f t="shared" si="26"/>
        <v>#DIV/0!</v>
      </c>
      <c r="H678" s="166" t="e">
        <f t="shared" si="27"/>
        <v>#DIV/0!</v>
      </c>
      <c r="I678" s="166">
        <f>F678/F681</f>
        <v>0</v>
      </c>
    </row>
    <row r="679" spans="1:9" s="17" customFormat="1" ht="16.5" customHeight="1" x14ac:dyDescent="0.2">
      <c r="A679" s="86" t="s">
        <v>158</v>
      </c>
      <c r="B679" s="601" t="s">
        <v>110</v>
      </c>
      <c r="C679" s="602"/>
      <c r="D679" s="167">
        <f>102272.86+2602</f>
        <v>104874.86</v>
      </c>
      <c r="E679" s="501">
        <f>5+263698.76+7855.2+27236+7866.92+226.8+244.62+42.69+1000</f>
        <v>308175.99</v>
      </c>
      <c r="F679" s="167">
        <f>252506.89+18461.03+1494.3</f>
        <v>272462.22000000003</v>
      </c>
      <c r="G679" s="165">
        <f t="shared" si="26"/>
        <v>2.5979745765572417</v>
      </c>
      <c r="H679" s="166">
        <f t="shared" si="27"/>
        <v>0.88411241901096849</v>
      </c>
      <c r="I679" s="166">
        <f>F679/F681</f>
        <v>5.0481228408199706E-2</v>
      </c>
    </row>
    <row r="680" spans="1:9" s="17" customFormat="1" ht="16.5" customHeight="1" x14ac:dyDescent="0.2">
      <c r="A680" s="86">
        <v>4</v>
      </c>
      <c r="B680" s="601" t="s">
        <v>160</v>
      </c>
      <c r="C680" s="602"/>
      <c r="D680" s="167">
        <v>0</v>
      </c>
      <c r="E680" s="501">
        <v>0</v>
      </c>
      <c r="F680" s="167">
        <v>0</v>
      </c>
      <c r="G680" s="165" t="e">
        <f t="shared" si="26"/>
        <v>#DIV/0!</v>
      </c>
      <c r="H680" s="166" t="e">
        <f t="shared" si="27"/>
        <v>#DIV/0!</v>
      </c>
      <c r="I680" s="166">
        <f>F680/F681</f>
        <v>0</v>
      </c>
    </row>
    <row r="681" spans="1:9" s="17" customFormat="1" ht="16.5" customHeight="1" x14ac:dyDescent="0.2">
      <c r="A681" s="168"/>
      <c r="B681" s="625" t="s">
        <v>192</v>
      </c>
      <c r="C681" s="626"/>
      <c r="D681" s="417">
        <f>SUM(D675:D680)</f>
        <v>4488837.2700000005</v>
      </c>
      <c r="E681" s="417">
        <f>SUM(E675:E680)</f>
        <v>5472375.3300000001</v>
      </c>
      <c r="F681" s="417">
        <f>SUM(F675:F680)</f>
        <v>5397297.7399999993</v>
      </c>
      <c r="G681" s="170">
        <f t="shared" si="26"/>
        <v>1.2023821349175348</v>
      </c>
      <c r="H681" s="155">
        <f t="shared" si="27"/>
        <v>0.98628062121608884</v>
      </c>
      <c r="I681" s="155">
        <f>SUM(I675:I679)</f>
        <v>1.0000000000000002</v>
      </c>
    </row>
    <row r="682" spans="1:9" s="17" customFormat="1" ht="16.5" customHeight="1" x14ac:dyDescent="0.2">
      <c r="A682" s="23"/>
      <c r="B682" s="23"/>
      <c r="C682" s="23"/>
      <c r="D682" s="23"/>
      <c r="E682" s="23"/>
      <c r="F682" s="23"/>
      <c r="G682" s="23"/>
      <c r="H682" s="23"/>
    </row>
    <row r="683" spans="1:9" s="17" customFormat="1" ht="16.5" customHeight="1" x14ac:dyDescent="0.2">
      <c r="A683" s="627" t="s">
        <v>1053</v>
      </c>
      <c r="B683" s="627"/>
      <c r="C683" s="627"/>
      <c r="D683" s="627"/>
      <c r="E683" s="627"/>
      <c r="F683" s="627"/>
      <c r="G683" s="627"/>
      <c r="H683" s="627"/>
      <c r="I683" s="627"/>
    </row>
    <row r="684" spans="1:9" s="17" customFormat="1" ht="16.5" customHeight="1" x14ac:dyDescent="0.2">
      <c r="A684" s="627" t="s">
        <v>1054</v>
      </c>
      <c r="B684" s="627"/>
      <c r="C684" s="627"/>
      <c r="D684" s="627"/>
      <c r="E684" s="627"/>
      <c r="F684" s="627"/>
      <c r="G684" s="627"/>
      <c r="H684" s="627"/>
      <c r="I684" s="627"/>
    </row>
    <row r="685" spans="1:9" s="17" customFormat="1" ht="16.5" customHeight="1" x14ac:dyDescent="0.2">
      <c r="A685" s="627" t="s">
        <v>647</v>
      </c>
      <c r="B685" s="627"/>
      <c r="C685" s="627"/>
      <c r="D685" s="627"/>
      <c r="E685" s="627"/>
      <c r="F685" s="627"/>
      <c r="G685" s="627"/>
      <c r="H685" s="627"/>
      <c r="I685" s="627"/>
    </row>
    <row r="686" spans="1:9" s="17" customFormat="1" ht="16.5" customHeight="1" x14ac:dyDescent="0.2">
      <c r="A686" s="621" t="s">
        <v>407</v>
      </c>
      <c r="B686" s="621"/>
      <c r="C686" s="621"/>
      <c r="D686" s="621"/>
      <c r="E686" s="621"/>
      <c r="F686" s="621"/>
      <c r="G686" s="621"/>
      <c r="H686" s="621"/>
      <c r="I686" s="621"/>
    </row>
    <row r="687" spans="1:9" s="17" customFormat="1" ht="16.5" customHeight="1" x14ac:dyDescent="0.2">
      <c r="A687" s="621" t="s">
        <v>648</v>
      </c>
      <c r="B687" s="621"/>
      <c r="C687" s="621"/>
      <c r="D687" s="621"/>
      <c r="E687" s="621"/>
      <c r="F687" s="621"/>
      <c r="G687" s="621"/>
      <c r="H687" s="621"/>
      <c r="I687" s="621"/>
    </row>
    <row r="688" spans="1:9" s="17" customFormat="1" ht="16.5" customHeight="1" x14ac:dyDescent="0.2">
      <c r="A688" s="145"/>
      <c r="B688" s="145"/>
      <c r="C688" s="145"/>
      <c r="D688" s="145"/>
      <c r="E688" s="605" t="s">
        <v>84</v>
      </c>
      <c r="F688" s="145"/>
      <c r="G688" s="145"/>
      <c r="H688" s="145"/>
      <c r="I688" s="145"/>
    </row>
    <row r="689" spans="1:9" s="17" customFormat="1" ht="16.5" customHeight="1" x14ac:dyDescent="0.2">
      <c r="A689" s="156"/>
      <c r="B689" s="191"/>
      <c r="C689" s="15"/>
      <c r="D689" s="145"/>
      <c r="E689" s="606"/>
      <c r="F689" s="145"/>
      <c r="G689" s="191"/>
      <c r="H689" s="156"/>
      <c r="I689" s="156"/>
    </row>
    <row r="690" spans="1:9" s="17" customFormat="1" ht="16.5" customHeight="1" x14ac:dyDescent="0.2">
      <c r="A690" s="192" t="s">
        <v>48</v>
      </c>
      <c r="B690" s="615" t="s">
        <v>151</v>
      </c>
      <c r="C690" s="616"/>
      <c r="D690" s="411" t="s">
        <v>85</v>
      </c>
      <c r="E690" s="409" t="s">
        <v>152</v>
      </c>
      <c r="F690" s="42" t="s">
        <v>86</v>
      </c>
      <c r="G690" s="619" t="s">
        <v>52</v>
      </c>
      <c r="H690" s="620"/>
      <c r="I690" s="613" t="s">
        <v>53</v>
      </c>
    </row>
    <row r="691" spans="1:9" s="17" customFormat="1" ht="16.5" customHeight="1" x14ac:dyDescent="0.2">
      <c r="A691" s="193" t="s">
        <v>87</v>
      </c>
      <c r="B691" s="617"/>
      <c r="C691" s="618"/>
      <c r="D691" s="412" t="s">
        <v>537</v>
      </c>
      <c r="E691" s="44" t="s">
        <v>571</v>
      </c>
      <c r="F691" s="44" t="s">
        <v>571</v>
      </c>
      <c r="G691" s="29" t="s">
        <v>55</v>
      </c>
      <c r="H691" s="29" t="s">
        <v>56</v>
      </c>
      <c r="I691" s="614"/>
    </row>
    <row r="692" spans="1:9" s="17" customFormat="1" ht="16.5" customHeight="1" x14ac:dyDescent="0.2">
      <c r="A692" s="229">
        <v>1</v>
      </c>
      <c r="B692" s="724">
        <v>2</v>
      </c>
      <c r="C692" s="725"/>
      <c r="D692" s="175">
        <v>3</v>
      </c>
      <c r="E692" s="176">
        <v>4</v>
      </c>
      <c r="F692" s="176">
        <v>5</v>
      </c>
      <c r="G692" s="176">
        <v>6</v>
      </c>
      <c r="H692" s="176">
        <v>7</v>
      </c>
      <c r="I692" s="177">
        <v>8</v>
      </c>
    </row>
    <row r="693" spans="1:9" s="17" customFormat="1" ht="16.5" customHeight="1" x14ac:dyDescent="0.2">
      <c r="A693" s="230">
        <v>1310</v>
      </c>
      <c r="B693" s="638" t="s">
        <v>202</v>
      </c>
      <c r="C693" s="639"/>
      <c r="D693" s="169">
        <f>D694+D695+D696+D697+D698+D699+D700+D701+D702</f>
        <v>50362.080000000002</v>
      </c>
      <c r="E693" s="169">
        <f>E694+E695+E696+E697+E698+E699+E700+E701</f>
        <v>43000</v>
      </c>
      <c r="F693" s="169">
        <f>F694+F695+F696+F697+F698+F699+F700+F701+F702</f>
        <v>46585.19</v>
      </c>
      <c r="G693" s="200">
        <f t="shared" ref="G693:G741" si="28">F693/D693</f>
        <v>0.92500528175166719</v>
      </c>
      <c r="H693" s="206">
        <f t="shared" ref="H693:H721" si="29">F693/E693</f>
        <v>1.083376511627907</v>
      </c>
      <c r="I693" s="155">
        <f>F693/F800</f>
        <v>8.6312062524829328E-3</v>
      </c>
    </row>
    <row r="694" spans="1:9" s="17" customFormat="1" ht="16.5" customHeight="1" x14ac:dyDescent="0.2">
      <c r="A694" s="231">
        <v>13130</v>
      </c>
      <c r="B694" s="708" t="s">
        <v>203</v>
      </c>
      <c r="C694" s="709"/>
      <c r="D694" s="232">
        <v>0</v>
      </c>
      <c r="E694" s="554">
        <v>5000</v>
      </c>
      <c r="F694" s="232">
        <v>40</v>
      </c>
      <c r="G694" s="165" t="e">
        <f t="shared" si="28"/>
        <v>#DIV/0!</v>
      </c>
      <c r="H694" s="166">
        <f t="shared" si="29"/>
        <v>8.0000000000000002E-3</v>
      </c>
      <c r="I694" s="166">
        <f>F694/F693</f>
        <v>8.5864198471660193E-4</v>
      </c>
    </row>
    <row r="695" spans="1:9" s="17" customFormat="1" ht="16.5" customHeight="1" x14ac:dyDescent="0.2">
      <c r="A695" s="231">
        <v>13131</v>
      </c>
      <c r="B695" s="233" t="s">
        <v>204</v>
      </c>
      <c r="C695" s="234"/>
      <c r="D695" s="232">
        <v>78</v>
      </c>
      <c r="E695" s="554">
        <v>0</v>
      </c>
      <c r="F695" s="232">
        <v>0</v>
      </c>
      <c r="G695" s="165">
        <f t="shared" si="28"/>
        <v>0</v>
      </c>
      <c r="H695" s="166" t="e">
        <f t="shared" si="29"/>
        <v>#DIV/0!</v>
      </c>
      <c r="I695" s="166">
        <f>F695/F693</f>
        <v>0</v>
      </c>
    </row>
    <row r="696" spans="1:9" s="17" customFormat="1" ht="16.5" customHeight="1" x14ac:dyDescent="0.2">
      <c r="A696" s="231">
        <v>13132</v>
      </c>
      <c r="B696" s="233" t="s">
        <v>205</v>
      </c>
      <c r="C696" s="234"/>
      <c r="D696" s="232">
        <v>0</v>
      </c>
      <c r="E696" s="554">
        <v>0</v>
      </c>
      <c r="F696" s="232">
        <v>0</v>
      </c>
      <c r="G696" s="165" t="e">
        <f t="shared" si="28"/>
        <v>#DIV/0!</v>
      </c>
      <c r="H696" s="166" t="e">
        <f t="shared" si="29"/>
        <v>#DIV/0!</v>
      </c>
      <c r="I696" s="166">
        <f>F696/F693</f>
        <v>0</v>
      </c>
    </row>
    <row r="697" spans="1:9" s="17" customFormat="1" ht="16.5" customHeight="1" x14ac:dyDescent="0.2">
      <c r="A697" s="231">
        <v>13133</v>
      </c>
      <c r="B697" s="708" t="s">
        <v>408</v>
      </c>
      <c r="C697" s="709"/>
      <c r="D697" s="232">
        <v>6297.55</v>
      </c>
      <c r="E697" s="554">
        <v>0</v>
      </c>
      <c r="F697" s="232">
        <v>0</v>
      </c>
      <c r="G697" s="165">
        <f t="shared" si="28"/>
        <v>0</v>
      </c>
      <c r="H697" s="166" t="e">
        <f t="shared" si="29"/>
        <v>#DIV/0!</v>
      </c>
      <c r="I697" s="166">
        <f>F697/F693</f>
        <v>0</v>
      </c>
    </row>
    <row r="698" spans="1:9" s="17" customFormat="1" ht="16.5" customHeight="1" x14ac:dyDescent="0.2">
      <c r="A698" s="231">
        <v>13140</v>
      </c>
      <c r="B698" s="708" t="s">
        <v>206</v>
      </c>
      <c r="C698" s="709"/>
      <c r="D698" s="232">
        <v>5712.54</v>
      </c>
      <c r="E698" s="554">
        <v>31500</v>
      </c>
      <c r="F698" s="232">
        <v>9710.5499999999993</v>
      </c>
      <c r="G698" s="165">
        <f t="shared" si="28"/>
        <v>1.6998655589282525</v>
      </c>
      <c r="H698" s="166">
        <f t="shared" si="29"/>
        <v>0.30827142857142853</v>
      </c>
      <c r="I698" s="166">
        <f>F698/F693</f>
        <v>0.20844714811724496</v>
      </c>
    </row>
    <row r="699" spans="1:9" s="17" customFormat="1" ht="16.5" customHeight="1" x14ac:dyDescent="0.2">
      <c r="A699" s="231">
        <v>13141</v>
      </c>
      <c r="B699" s="708" t="s">
        <v>207</v>
      </c>
      <c r="C699" s="709"/>
      <c r="D699" s="232">
        <v>3378</v>
      </c>
      <c r="E699" s="554">
        <v>0</v>
      </c>
      <c r="F699" s="232">
        <v>6458.4</v>
      </c>
      <c r="G699" s="165">
        <f>F699/D699</f>
        <v>1.9119005328596801</v>
      </c>
      <c r="H699" s="166" t="e">
        <f>F699/E699</f>
        <v>#DIV/0!</v>
      </c>
      <c r="I699" s="166">
        <f>F699/F693</f>
        <v>0.13863633485234253</v>
      </c>
    </row>
    <row r="700" spans="1:9" s="17" customFormat="1" ht="16.5" customHeight="1" x14ac:dyDescent="0.2">
      <c r="A700" s="231">
        <v>13142</v>
      </c>
      <c r="B700" s="708" t="s">
        <v>409</v>
      </c>
      <c r="C700" s="709"/>
      <c r="D700" s="232">
        <v>15826.39</v>
      </c>
      <c r="E700" s="554">
        <v>6500</v>
      </c>
      <c r="F700" s="232">
        <v>19798.080000000002</v>
      </c>
      <c r="G700" s="165">
        <f>F700/D700</f>
        <v>1.2509536287176042</v>
      </c>
      <c r="H700" s="166">
        <f>F700/E700</f>
        <v>3.0458584615384616</v>
      </c>
      <c r="I700" s="166">
        <f>F700/F693</f>
        <v>0.42498656761945158</v>
      </c>
    </row>
    <row r="701" spans="1:9" s="17" customFormat="1" ht="16.5" customHeight="1" x14ac:dyDescent="0.2">
      <c r="A701" s="231">
        <v>13143</v>
      </c>
      <c r="B701" s="708" t="s">
        <v>441</v>
      </c>
      <c r="C701" s="709"/>
      <c r="D701" s="232">
        <v>19069.599999999999</v>
      </c>
      <c r="E701" s="554">
        <v>0</v>
      </c>
      <c r="F701" s="232">
        <v>10578.16</v>
      </c>
      <c r="G701" s="165">
        <f>F701/D701</f>
        <v>0.55471326089692496</v>
      </c>
      <c r="H701" s="166" t="e">
        <f>F701/E701</f>
        <v>#DIV/0!</v>
      </c>
      <c r="I701" s="166">
        <f>F701/F693</f>
        <v>0.22707130742624426</v>
      </c>
    </row>
    <row r="702" spans="1:9" s="17" customFormat="1" ht="16.5" customHeight="1" x14ac:dyDescent="0.2">
      <c r="A702" s="231">
        <v>13144</v>
      </c>
      <c r="B702" s="134" t="s">
        <v>524</v>
      </c>
      <c r="C702" s="135"/>
      <c r="D702" s="232">
        <v>0</v>
      </c>
      <c r="E702" s="502">
        <v>0</v>
      </c>
      <c r="F702" s="232">
        <v>0</v>
      </c>
      <c r="G702" s="165"/>
      <c r="H702" s="166"/>
      <c r="I702" s="166"/>
    </row>
    <row r="703" spans="1:9" s="17" customFormat="1" ht="16.5" customHeight="1" x14ac:dyDescent="0.2">
      <c r="A703" s="182">
        <v>1330</v>
      </c>
      <c r="B703" s="638" t="s">
        <v>208</v>
      </c>
      <c r="C703" s="639"/>
      <c r="D703" s="235">
        <f>D704+D705+D706</f>
        <v>45231.32</v>
      </c>
      <c r="E703" s="235">
        <f>E704+E705+E706</f>
        <v>61700</v>
      </c>
      <c r="F703" s="235">
        <f>F704+F705+F706</f>
        <v>46813.93</v>
      </c>
      <c r="G703" s="170">
        <f t="shared" si="28"/>
        <v>1.0349892508111636</v>
      </c>
      <c r="H703" s="155">
        <f t="shared" si="29"/>
        <v>0.75873468395461918</v>
      </c>
      <c r="I703" s="155">
        <f>F703/F800</f>
        <v>8.6735867197128159E-3</v>
      </c>
    </row>
    <row r="704" spans="1:9" s="17" customFormat="1" ht="16.5" customHeight="1" x14ac:dyDescent="0.2">
      <c r="A704" s="231">
        <v>13310</v>
      </c>
      <c r="B704" s="708" t="s">
        <v>209</v>
      </c>
      <c r="C704" s="709"/>
      <c r="D704" s="232">
        <v>0</v>
      </c>
      <c r="E704" s="554">
        <v>10000</v>
      </c>
      <c r="F704" s="232">
        <v>989.25</v>
      </c>
      <c r="G704" s="165" t="e">
        <f t="shared" si="28"/>
        <v>#DIV/0!</v>
      </c>
      <c r="H704" s="166">
        <f t="shared" si="29"/>
        <v>9.8924999999999999E-2</v>
      </c>
      <c r="I704" s="166">
        <f>F704/F703</f>
        <v>2.1131530721731757E-2</v>
      </c>
    </row>
    <row r="705" spans="1:9" s="17" customFormat="1" ht="16.5" customHeight="1" x14ac:dyDescent="0.2">
      <c r="A705" s="231">
        <v>13320</v>
      </c>
      <c r="B705" s="708" t="s">
        <v>210</v>
      </c>
      <c r="C705" s="709"/>
      <c r="D705" s="232">
        <v>23513.48</v>
      </c>
      <c r="E705" s="554">
        <v>24000</v>
      </c>
      <c r="F705" s="232">
        <v>26655.19</v>
      </c>
      <c r="G705" s="165">
        <f t="shared" si="28"/>
        <v>1.1336131444601139</v>
      </c>
      <c r="H705" s="166">
        <f t="shared" si="29"/>
        <v>1.1106329166666666</v>
      </c>
      <c r="I705" s="166">
        <f>F705/F703</f>
        <v>0.56938586442112415</v>
      </c>
    </row>
    <row r="706" spans="1:9" s="17" customFormat="1" ht="16.5" customHeight="1" x14ac:dyDescent="0.2">
      <c r="A706" s="231">
        <v>13330</v>
      </c>
      <c r="B706" s="708" t="s">
        <v>211</v>
      </c>
      <c r="C706" s="709"/>
      <c r="D706" s="232">
        <v>21717.84</v>
      </c>
      <c r="E706" s="554">
        <v>27700</v>
      </c>
      <c r="F706" s="232">
        <v>19169.490000000002</v>
      </c>
      <c r="G706" s="165">
        <f t="shared" si="28"/>
        <v>0.88266098286017403</v>
      </c>
      <c r="H706" s="166">
        <f t="shared" si="29"/>
        <v>0.69203935018050544</v>
      </c>
      <c r="I706" s="166">
        <f>F706/F703</f>
        <v>0.40948260485714405</v>
      </c>
    </row>
    <row r="707" spans="1:9" s="17" customFormat="1" ht="16.5" customHeight="1" x14ac:dyDescent="0.2">
      <c r="A707" s="182">
        <v>1340</v>
      </c>
      <c r="B707" s="638" t="s">
        <v>212</v>
      </c>
      <c r="C707" s="639"/>
      <c r="D707" s="169">
        <f>D708+D709+D710+D711+D713+D719+D720+D722</f>
        <v>1976611.5899999999</v>
      </c>
      <c r="E707" s="169">
        <f>E708+E709+E710+E711+E712+E713+E719+E720+E721+E722+E723</f>
        <v>2456500</v>
      </c>
      <c r="F707" s="169">
        <f>F708+F709+F710+F711+F712+F713+F719+F720+F721+F722+F723</f>
        <v>2411280.66</v>
      </c>
      <c r="G707" s="170">
        <f t="shared" si="28"/>
        <v>1.2199061627479379</v>
      </c>
      <c r="H707" s="155">
        <f t="shared" si="29"/>
        <v>0.98159196417667416</v>
      </c>
      <c r="I707" s="155">
        <f>F707/F800</f>
        <v>0.44675702104216325</v>
      </c>
    </row>
    <row r="708" spans="1:9" s="17" customFormat="1" ht="16.5" customHeight="1" x14ac:dyDescent="0.2">
      <c r="A708" s="231">
        <v>13410</v>
      </c>
      <c r="B708" s="708" t="s">
        <v>213</v>
      </c>
      <c r="C708" s="709"/>
      <c r="D708" s="232">
        <v>1500</v>
      </c>
      <c r="E708" s="554">
        <v>5000</v>
      </c>
      <c r="F708" s="232">
        <v>2640</v>
      </c>
      <c r="G708" s="91">
        <f t="shared" si="28"/>
        <v>1.76</v>
      </c>
      <c r="H708" s="92">
        <f t="shared" si="29"/>
        <v>0.52800000000000002</v>
      </c>
      <c r="I708" s="92">
        <f>F708/F707</f>
        <v>1.0948538856526142E-3</v>
      </c>
    </row>
    <row r="709" spans="1:9" s="17" customFormat="1" ht="16.5" customHeight="1" x14ac:dyDescent="0.2">
      <c r="A709" s="231">
        <v>13420</v>
      </c>
      <c r="B709" s="708" t="s">
        <v>214</v>
      </c>
      <c r="C709" s="709"/>
      <c r="D709" s="232">
        <v>13912</v>
      </c>
      <c r="E709" s="555">
        <v>25000</v>
      </c>
      <c r="F709" s="232">
        <v>59642.8</v>
      </c>
      <c r="G709" s="91">
        <f t="shared" si="28"/>
        <v>4.2871477860839562</v>
      </c>
      <c r="H709" s="92">
        <f t="shared" si="29"/>
        <v>2.3857120000000003</v>
      </c>
      <c r="I709" s="92">
        <f>F709/F707</f>
        <v>2.4734905807273385E-2</v>
      </c>
    </row>
    <row r="710" spans="1:9" s="17" customFormat="1" ht="16.5" customHeight="1" x14ac:dyDescent="0.2">
      <c r="A710" s="231">
        <v>13430</v>
      </c>
      <c r="B710" s="601" t="s">
        <v>215</v>
      </c>
      <c r="C710" s="602"/>
      <c r="D710" s="232">
        <v>0</v>
      </c>
      <c r="E710" s="555">
        <v>0</v>
      </c>
      <c r="F710" s="232">
        <v>0</v>
      </c>
      <c r="G710" s="91" t="e">
        <f t="shared" si="28"/>
        <v>#DIV/0!</v>
      </c>
      <c r="H710" s="92" t="e">
        <f t="shared" si="29"/>
        <v>#DIV/0!</v>
      </c>
      <c r="I710" s="92">
        <f>F710/F707</f>
        <v>0</v>
      </c>
    </row>
    <row r="711" spans="1:9" s="17" customFormat="1" ht="16.5" customHeight="1" x14ac:dyDescent="0.2">
      <c r="A711" s="231">
        <v>13440</v>
      </c>
      <c r="B711" s="601" t="s">
        <v>410</v>
      </c>
      <c r="C711" s="602"/>
      <c r="D711" s="232">
        <v>8500</v>
      </c>
      <c r="E711" s="555">
        <v>5000</v>
      </c>
      <c r="F711" s="232">
        <v>22363.119999999999</v>
      </c>
      <c r="G711" s="91">
        <f t="shared" si="28"/>
        <v>2.6309552941176468</v>
      </c>
      <c r="H711" s="92">
        <f t="shared" si="29"/>
        <v>4.4726239999999997</v>
      </c>
      <c r="I711" s="92">
        <f>F711/F707</f>
        <v>9.2743745558013964E-3</v>
      </c>
    </row>
    <row r="712" spans="1:9" s="17" customFormat="1" ht="16.5" customHeight="1" x14ac:dyDescent="0.2">
      <c r="A712" s="231">
        <v>13445</v>
      </c>
      <c r="B712" s="601" t="s">
        <v>592</v>
      </c>
      <c r="C712" s="602"/>
      <c r="D712" s="232">
        <v>0</v>
      </c>
      <c r="E712" s="555">
        <v>9500</v>
      </c>
      <c r="F712" s="232">
        <v>2159.6999999999998</v>
      </c>
      <c r="G712" s="91" t="e">
        <f t="shared" si="28"/>
        <v>#DIV/0!</v>
      </c>
      <c r="H712" s="92">
        <f t="shared" si="29"/>
        <v>0.22733684210526314</v>
      </c>
      <c r="I712" s="92">
        <f>F712/F707</f>
        <v>8.9566512759240552E-4</v>
      </c>
    </row>
    <row r="713" spans="1:9" s="17" customFormat="1" ht="16.5" customHeight="1" x14ac:dyDescent="0.2">
      <c r="A713" s="231">
        <v>13450</v>
      </c>
      <c r="B713" s="601" t="s">
        <v>216</v>
      </c>
      <c r="C713" s="602"/>
      <c r="D713" s="232">
        <v>1945</v>
      </c>
      <c r="E713" s="555">
        <v>16000</v>
      </c>
      <c r="F713" s="232">
        <v>1479.4</v>
      </c>
      <c r="G713" s="91">
        <f t="shared" si="28"/>
        <v>0.76061696658097688</v>
      </c>
      <c r="H713" s="92">
        <f t="shared" si="29"/>
        <v>9.2462500000000003E-2</v>
      </c>
      <c r="I713" s="92">
        <f>F713/F707</f>
        <v>6.1353289334639292E-4</v>
      </c>
    </row>
    <row r="714" spans="1:9" s="17" customFormat="1" ht="16.5" customHeight="1" x14ac:dyDescent="0.2">
      <c r="I714" s="224"/>
    </row>
    <row r="715" spans="1:9" s="17" customFormat="1" ht="16.5" customHeight="1" x14ac:dyDescent="0.2">
      <c r="I715" s="224"/>
    </row>
    <row r="716" spans="1:9" s="17" customFormat="1" ht="16.5" customHeight="1" x14ac:dyDescent="0.2">
      <c r="I716" s="224"/>
    </row>
    <row r="717" spans="1:9" s="17" customFormat="1" ht="16.5" customHeight="1" x14ac:dyDescent="0.2">
      <c r="I717" s="257">
        <v>12</v>
      </c>
    </row>
    <row r="718" spans="1:9" s="17" customFormat="1" ht="16.5" customHeight="1" x14ac:dyDescent="0.2"/>
    <row r="719" spans="1:9" s="17" customFormat="1" ht="16.5" customHeight="1" x14ac:dyDescent="0.2">
      <c r="A719" s="231">
        <v>13460</v>
      </c>
      <c r="B719" s="601" t="s">
        <v>217</v>
      </c>
      <c r="C719" s="602"/>
      <c r="D719" s="232">
        <v>1919432.9</v>
      </c>
      <c r="E719" s="555">
        <v>2100500</v>
      </c>
      <c r="F719" s="232">
        <v>2114061.0299999998</v>
      </c>
      <c r="G719" s="91">
        <f t="shared" si="28"/>
        <v>1.1013987673129912</v>
      </c>
      <c r="H719" s="92">
        <f t="shared" si="29"/>
        <v>1.006456096167579</v>
      </c>
      <c r="I719" s="92">
        <f>F719/F707</f>
        <v>0.87673785348570732</v>
      </c>
    </row>
    <row r="720" spans="1:9" s="17" customFormat="1" ht="16.5" customHeight="1" x14ac:dyDescent="0.2">
      <c r="A720" s="231">
        <v>13470</v>
      </c>
      <c r="B720" s="601" t="s">
        <v>218</v>
      </c>
      <c r="C720" s="602"/>
      <c r="D720" s="232">
        <v>12109.19</v>
      </c>
      <c r="E720" s="555">
        <v>0</v>
      </c>
      <c r="F720" s="232">
        <v>4975.3900000000003</v>
      </c>
      <c r="G720" s="91">
        <f t="shared" si="28"/>
        <v>0.41087719327221722</v>
      </c>
      <c r="H720" s="92" t="e">
        <f t="shared" si="29"/>
        <v>#DIV/0!</v>
      </c>
      <c r="I720" s="92">
        <f>F720/F707</f>
        <v>2.0633807099004393E-3</v>
      </c>
    </row>
    <row r="721" spans="1:9" s="17" customFormat="1" ht="16.5" customHeight="1" x14ac:dyDescent="0.2">
      <c r="A721" s="231">
        <v>13475</v>
      </c>
      <c r="B721" s="231" t="s">
        <v>609</v>
      </c>
      <c r="C721" s="459"/>
      <c r="D721" s="232">
        <v>0</v>
      </c>
      <c r="E721" s="555">
        <v>270500</v>
      </c>
      <c r="F721" s="232">
        <v>180993.12</v>
      </c>
      <c r="G721" s="91" t="e">
        <f t="shared" si="28"/>
        <v>#DIV/0!</v>
      </c>
      <c r="H721" s="92">
        <f t="shared" si="29"/>
        <v>0.66910580406654341</v>
      </c>
      <c r="I721" s="92">
        <f>F721/F707</f>
        <v>7.506099269257191E-2</v>
      </c>
    </row>
    <row r="722" spans="1:9" s="17" customFormat="1" ht="16.5" customHeight="1" x14ac:dyDescent="0.2">
      <c r="A722" s="231">
        <v>13480</v>
      </c>
      <c r="B722" s="601" t="s">
        <v>219</v>
      </c>
      <c r="C722" s="602"/>
      <c r="D722" s="232">
        <v>19212.5</v>
      </c>
      <c r="E722" s="555">
        <v>25000</v>
      </c>
      <c r="F722" s="232">
        <v>22966.1</v>
      </c>
      <c r="G722" s="91">
        <f>F722/D722</f>
        <v>1.1953728041639557</v>
      </c>
      <c r="H722" s="92">
        <f>F722/E722</f>
        <v>0.91864399999999991</v>
      </c>
      <c r="I722" s="92">
        <f>F722/F707</f>
        <v>9.5244408421539771E-3</v>
      </c>
    </row>
    <row r="723" spans="1:9" s="17" customFormat="1" ht="16.5" customHeight="1" x14ac:dyDescent="0.2">
      <c r="A723" s="231">
        <v>13490</v>
      </c>
      <c r="B723" s="601" t="s">
        <v>468</v>
      </c>
      <c r="C723" s="602"/>
      <c r="D723" s="232">
        <v>0</v>
      </c>
      <c r="E723" s="555">
        <v>0</v>
      </c>
      <c r="F723" s="232">
        <v>0</v>
      </c>
      <c r="G723" s="91">
        <v>0</v>
      </c>
      <c r="H723" s="92">
        <v>0</v>
      </c>
      <c r="I723" s="92">
        <v>0</v>
      </c>
    </row>
    <row r="724" spans="1:9" s="17" customFormat="1" ht="16.5" customHeight="1" x14ac:dyDescent="0.2">
      <c r="A724" s="182">
        <v>1350</v>
      </c>
      <c r="B724" s="638" t="s">
        <v>220</v>
      </c>
      <c r="C724" s="639"/>
      <c r="D724" s="169">
        <f>D725+D726+D727+D728+D729+D730+D731+D732</f>
        <v>242566.37</v>
      </c>
      <c r="E724" s="237">
        <f>E725+E726+E727+E728+E729+E730+E731+E732</f>
        <v>52900</v>
      </c>
      <c r="F724" s="169">
        <f>F725+F726+F727+F728+F729+F730+F731+F732</f>
        <v>129607.73</v>
      </c>
      <c r="G724" s="170">
        <f t="shared" si="28"/>
        <v>0.53431862792851292</v>
      </c>
      <c r="H724" s="170">
        <f>G724/E724</f>
        <v>1.0100541170671321E-5</v>
      </c>
      <c r="I724" s="155">
        <f>F724/F800</f>
        <v>2.4013448255682111E-2</v>
      </c>
    </row>
    <row r="725" spans="1:9" s="17" customFormat="1" ht="16.5" customHeight="1" x14ac:dyDescent="0.3">
      <c r="A725" s="231">
        <v>13501</v>
      </c>
      <c r="B725" s="708" t="s">
        <v>221</v>
      </c>
      <c r="C725" s="709"/>
      <c r="D725" s="232">
        <v>53246</v>
      </c>
      <c r="E725" s="556">
        <v>20000</v>
      </c>
      <c r="F725" s="232">
        <v>22038</v>
      </c>
      <c r="G725" s="91">
        <f t="shared" si="28"/>
        <v>0.41389024527664048</v>
      </c>
      <c r="H725" s="92">
        <f t="shared" ref="H725:H732" si="30">F725/E725</f>
        <v>1.1019000000000001</v>
      </c>
      <c r="I725" s="92">
        <f>F725/F724</f>
        <v>0.17003615447936632</v>
      </c>
    </row>
    <row r="726" spans="1:9" s="17" customFormat="1" ht="16.5" customHeight="1" x14ac:dyDescent="0.3">
      <c r="A726" s="231">
        <v>13502</v>
      </c>
      <c r="B726" s="708" t="s">
        <v>222</v>
      </c>
      <c r="C726" s="709"/>
      <c r="D726" s="232">
        <v>0</v>
      </c>
      <c r="E726" s="556">
        <v>0</v>
      </c>
      <c r="F726" s="232">
        <v>0</v>
      </c>
      <c r="G726" s="91" t="e">
        <f t="shared" si="28"/>
        <v>#DIV/0!</v>
      </c>
      <c r="H726" s="92" t="e">
        <f t="shared" si="30"/>
        <v>#DIV/0!</v>
      </c>
      <c r="I726" s="92">
        <f>F726/F724</f>
        <v>0</v>
      </c>
    </row>
    <row r="727" spans="1:9" s="17" customFormat="1" ht="16.5" customHeight="1" x14ac:dyDescent="0.3">
      <c r="A727" s="231">
        <v>13503</v>
      </c>
      <c r="B727" s="708" t="s">
        <v>223</v>
      </c>
      <c r="C727" s="709"/>
      <c r="D727" s="232">
        <v>80803</v>
      </c>
      <c r="E727" s="556">
        <v>0</v>
      </c>
      <c r="F727" s="232">
        <v>2585</v>
      </c>
      <c r="G727" s="91">
        <f t="shared" si="28"/>
        <v>3.1991386458423574E-2</v>
      </c>
      <c r="H727" s="92" t="e">
        <f t="shared" si="30"/>
        <v>#DIV/0!</v>
      </c>
      <c r="I727" s="92">
        <f>F727/F724</f>
        <v>1.9944798045610397E-2</v>
      </c>
    </row>
    <row r="728" spans="1:9" s="17" customFormat="1" ht="16.5" customHeight="1" x14ac:dyDescent="0.3">
      <c r="A728" s="231">
        <v>13504</v>
      </c>
      <c r="B728" s="708" t="s">
        <v>610</v>
      </c>
      <c r="C728" s="709"/>
      <c r="D728" s="232">
        <v>70</v>
      </c>
      <c r="E728" s="556">
        <v>0</v>
      </c>
      <c r="F728" s="232">
        <v>2415</v>
      </c>
      <c r="G728" s="91">
        <f>F728/D728</f>
        <v>34.5</v>
      </c>
      <c r="H728" s="92" t="e">
        <f t="shared" si="30"/>
        <v>#DIV/0!</v>
      </c>
      <c r="I728" s="92">
        <f>F728/F724</f>
        <v>1.8633147884003526E-2</v>
      </c>
    </row>
    <row r="729" spans="1:9" s="17" customFormat="1" ht="16.5" customHeight="1" x14ac:dyDescent="0.3">
      <c r="A729" s="231">
        <v>13505</v>
      </c>
      <c r="B729" s="708" t="s">
        <v>224</v>
      </c>
      <c r="C729" s="709"/>
      <c r="D729" s="232">
        <v>0</v>
      </c>
      <c r="E729" s="556">
        <v>0</v>
      </c>
      <c r="F729" s="232">
        <v>0</v>
      </c>
      <c r="G729" s="91" t="e">
        <f>F729/D729</f>
        <v>#DIV/0!</v>
      </c>
      <c r="H729" s="92" t="e">
        <f t="shared" si="30"/>
        <v>#DIV/0!</v>
      </c>
      <c r="I729" s="92">
        <f>F729/F724</f>
        <v>0</v>
      </c>
    </row>
    <row r="730" spans="1:9" s="17" customFormat="1" ht="16.5" customHeight="1" x14ac:dyDescent="0.3">
      <c r="A730" s="231">
        <v>13506</v>
      </c>
      <c r="B730" s="708" t="s">
        <v>225</v>
      </c>
      <c r="C730" s="709"/>
      <c r="D730" s="232">
        <v>0</v>
      </c>
      <c r="E730" s="556">
        <v>0</v>
      </c>
      <c r="F730" s="232">
        <v>7710</v>
      </c>
      <c r="G730" s="91" t="e">
        <f>F730/D730</f>
        <v>#DIV/0!</v>
      </c>
      <c r="H730" s="92" t="e">
        <f t="shared" si="30"/>
        <v>#DIV/0!</v>
      </c>
      <c r="I730" s="92">
        <f>F730/F724</f>
        <v>5.948719262346467E-2</v>
      </c>
    </row>
    <row r="731" spans="1:9" s="17" customFormat="1" ht="16.5" customHeight="1" x14ac:dyDescent="0.3">
      <c r="A731" s="231">
        <v>13508</v>
      </c>
      <c r="B731" s="708" t="s">
        <v>226</v>
      </c>
      <c r="C731" s="709"/>
      <c r="D731" s="232">
        <f t="shared" ref="D731:F731" si="31">0+0+0+0+0</f>
        <v>0</v>
      </c>
      <c r="E731" s="556">
        <v>0</v>
      </c>
      <c r="F731" s="232">
        <f t="shared" si="31"/>
        <v>0</v>
      </c>
      <c r="G731" s="91" t="e">
        <f t="shared" si="28"/>
        <v>#DIV/0!</v>
      </c>
      <c r="H731" s="92" t="e">
        <f t="shared" si="30"/>
        <v>#DIV/0!</v>
      </c>
      <c r="I731" s="92">
        <f>F731/F724</f>
        <v>0</v>
      </c>
    </row>
    <row r="732" spans="1:9" s="17" customFormat="1" ht="16.5" customHeight="1" x14ac:dyDescent="0.3">
      <c r="A732" s="231">
        <v>13509</v>
      </c>
      <c r="B732" s="708" t="s">
        <v>227</v>
      </c>
      <c r="C732" s="709"/>
      <c r="D732" s="232">
        <v>108447.37</v>
      </c>
      <c r="E732" s="556">
        <v>32900</v>
      </c>
      <c r="F732" s="232">
        <v>94859.73</v>
      </c>
      <c r="G732" s="91">
        <f t="shared" si="28"/>
        <v>0.87470751941702229</v>
      </c>
      <c r="H732" s="92">
        <f t="shared" si="30"/>
        <v>2.8832744680851063</v>
      </c>
      <c r="I732" s="92">
        <f>F732/F724</f>
        <v>0.7318987069675551</v>
      </c>
    </row>
    <row r="733" spans="1:9" s="17" customFormat="1" ht="16.5" customHeight="1" x14ac:dyDescent="0.2">
      <c r="A733" s="182">
        <v>1360</v>
      </c>
      <c r="B733" s="638" t="s">
        <v>228</v>
      </c>
      <c r="C733" s="639"/>
      <c r="D733" s="239">
        <f>D734+D736+D737+D738+D739+D740+D741+D742</f>
        <v>273137.74</v>
      </c>
      <c r="E733" s="239">
        <f>E734+E735+E736+E737+E738+E739+E740+E741</f>
        <v>454600</v>
      </c>
      <c r="F733" s="239">
        <f>F734+F735+F736+F737+F738+F739+F740+F741+F742</f>
        <v>427400.33</v>
      </c>
      <c r="G733" s="170">
        <f t="shared" si="28"/>
        <v>1.5647794771971095</v>
      </c>
      <c r="H733" s="155">
        <f>F733/E733</f>
        <v>0.94016790585129784</v>
      </c>
      <c r="I733" s="155">
        <f>F733/F800</f>
        <v>7.9187836318994703E-2</v>
      </c>
    </row>
    <row r="734" spans="1:9" s="17" customFormat="1" ht="16.5" customHeight="1" x14ac:dyDescent="0.3">
      <c r="A734" s="231">
        <v>13610</v>
      </c>
      <c r="B734" s="708" t="s">
        <v>229</v>
      </c>
      <c r="C734" s="709"/>
      <c r="D734" s="232">
        <v>67856.22</v>
      </c>
      <c r="E734" s="556">
        <v>126100</v>
      </c>
      <c r="F734" s="232">
        <v>64455.08</v>
      </c>
      <c r="G734" s="91">
        <f t="shared" si="28"/>
        <v>0.94987725517277566</v>
      </c>
      <c r="H734" s="92">
        <f>F734/E734</f>
        <v>0.51114258524980172</v>
      </c>
      <c r="I734" s="92">
        <f>F734/F733</f>
        <v>0.15080727710247674</v>
      </c>
    </row>
    <row r="735" spans="1:9" s="17" customFormat="1" ht="16.5" customHeight="1" x14ac:dyDescent="0.3">
      <c r="A735" s="570">
        <v>13615</v>
      </c>
      <c r="B735" s="571" t="s">
        <v>593</v>
      </c>
      <c r="C735" s="572"/>
      <c r="D735" s="502">
        <v>0</v>
      </c>
      <c r="E735" s="556">
        <v>15500</v>
      </c>
      <c r="F735" s="232">
        <v>0</v>
      </c>
      <c r="G735" s="91" t="e">
        <f t="shared" si="28"/>
        <v>#DIV/0!</v>
      </c>
      <c r="H735" s="92">
        <f>F735/E735</f>
        <v>0</v>
      </c>
      <c r="I735" s="92">
        <f>F735/F733</f>
        <v>0</v>
      </c>
    </row>
    <row r="736" spans="1:9" s="17" customFormat="1" ht="16.5" customHeight="1" x14ac:dyDescent="0.3">
      <c r="A736" s="231">
        <v>13620</v>
      </c>
      <c r="B736" s="708" t="s">
        <v>411</v>
      </c>
      <c r="C736" s="709"/>
      <c r="D736" s="232">
        <v>63666.5</v>
      </c>
      <c r="E736" s="556">
        <v>111000</v>
      </c>
      <c r="F736" s="232">
        <v>65585.52</v>
      </c>
      <c r="G736" s="91">
        <f t="shared" si="28"/>
        <v>1.0301417542977862</v>
      </c>
      <c r="H736" s="92">
        <f t="shared" ref="H736:H741" si="32">F736/E736</f>
        <v>0.5908605405405406</v>
      </c>
      <c r="I736" s="92">
        <f>F736/F733</f>
        <v>0.15345219784926231</v>
      </c>
    </row>
    <row r="737" spans="1:9" s="17" customFormat="1" ht="16.5" customHeight="1" x14ac:dyDescent="0.3">
      <c r="A737" s="231">
        <v>13630</v>
      </c>
      <c r="B737" s="708" t="s">
        <v>230</v>
      </c>
      <c r="C737" s="709"/>
      <c r="D737" s="232">
        <v>48489.85</v>
      </c>
      <c r="E737" s="556">
        <v>90000</v>
      </c>
      <c r="F737" s="232">
        <v>175543.19</v>
      </c>
      <c r="G737" s="91">
        <f t="shared" si="28"/>
        <v>3.6202048469937527</v>
      </c>
      <c r="H737" s="92">
        <f t="shared" si="32"/>
        <v>1.950479888888889</v>
      </c>
      <c r="I737" s="92">
        <f>F737/F733</f>
        <v>0.41072310355960651</v>
      </c>
    </row>
    <row r="738" spans="1:9" s="17" customFormat="1" ht="16.5" customHeight="1" x14ac:dyDescent="0.3">
      <c r="A738" s="114">
        <v>13640</v>
      </c>
      <c r="B738" s="708" t="s">
        <v>231</v>
      </c>
      <c r="C738" s="709"/>
      <c r="D738" s="232">
        <v>73391.17</v>
      </c>
      <c r="E738" s="573">
        <v>96000</v>
      </c>
      <c r="F738" s="232">
        <v>86872.44</v>
      </c>
      <c r="G738" s="91">
        <f t="shared" si="28"/>
        <v>1.1836906265426754</v>
      </c>
      <c r="H738" s="92">
        <f t="shared" si="32"/>
        <v>0.90492125000000001</v>
      </c>
      <c r="I738" s="92">
        <f>F738/F733</f>
        <v>0.20325777474247622</v>
      </c>
    </row>
    <row r="739" spans="1:9" s="17" customFormat="1" ht="16.5" customHeight="1" x14ac:dyDescent="0.3">
      <c r="A739" s="114">
        <v>13650</v>
      </c>
      <c r="B739" s="708" t="s">
        <v>232</v>
      </c>
      <c r="C739" s="709"/>
      <c r="D739" s="232">
        <v>289.5</v>
      </c>
      <c r="E739" s="573">
        <v>10000</v>
      </c>
      <c r="F739" s="232">
        <v>22406.799999999999</v>
      </c>
      <c r="G739" s="91">
        <f t="shared" si="28"/>
        <v>77.398272884283244</v>
      </c>
      <c r="H739" s="92">
        <f t="shared" si="32"/>
        <v>2.2406799999999998</v>
      </c>
      <c r="I739" s="92">
        <f>F739/F733</f>
        <v>5.2425790125150341E-2</v>
      </c>
    </row>
    <row r="740" spans="1:9" s="17" customFormat="1" ht="16.5" customHeight="1" x14ac:dyDescent="0.3">
      <c r="A740" s="240">
        <v>13660</v>
      </c>
      <c r="B740" s="733" t="s">
        <v>594</v>
      </c>
      <c r="C740" s="734"/>
      <c r="D740" s="232">
        <v>19444.5</v>
      </c>
      <c r="E740" s="573">
        <v>5000</v>
      </c>
      <c r="F740" s="232">
        <v>12537.3</v>
      </c>
      <c r="G740" s="91">
        <f t="shared" si="28"/>
        <v>0.64477358636118176</v>
      </c>
      <c r="H740" s="92">
        <f t="shared" si="32"/>
        <v>2.50746</v>
      </c>
      <c r="I740" s="92">
        <f>F740/F733</f>
        <v>2.9333856621027877E-2</v>
      </c>
    </row>
    <row r="741" spans="1:9" s="17" customFormat="1" ht="16.5" customHeight="1" x14ac:dyDescent="0.3">
      <c r="A741" s="240">
        <v>13681</v>
      </c>
      <c r="B741" s="733" t="s">
        <v>233</v>
      </c>
      <c r="C741" s="734"/>
      <c r="D741" s="232">
        <f>0+0+0+0+0</f>
        <v>0</v>
      </c>
      <c r="E741" s="573">
        <v>1000</v>
      </c>
      <c r="F741" s="232">
        <f>0+0+0+0+0</f>
        <v>0</v>
      </c>
      <c r="G741" s="91" t="e">
        <f t="shared" si="28"/>
        <v>#DIV/0!</v>
      </c>
      <c r="H741" s="92">
        <f t="shared" si="32"/>
        <v>0</v>
      </c>
      <c r="I741" s="92">
        <f>F741/F736</f>
        <v>0</v>
      </c>
    </row>
    <row r="742" spans="1:9" s="17" customFormat="1" ht="16.5" customHeight="1" x14ac:dyDescent="0.2">
      <c r="A742" s="521">
        <v>13655</v>
      </c>
      <c r="B742" s="519" t="s">
        <v>525</v>
      </c>
      <c r="C742" s="520"/>
      <c r="D742" s="232">
        <v>0</v>
      </c>
      <c r="E742" s="503"/>
      <c r="F742" s="232">
        <v>0</v>
      </c>
      <c r="G742" s="91"/>
      <c r="H742" s="92"/>
      <c r="I742" s="92"/>
    </row>
    <row r="743" spans="1:9" s="17" customFormat="1" ht="16.5" customHeight="1" x14ac:dyDescent="0.2">
      <c r="A743" s="182">
        <v>1370</v>
      </c>
      <c r="B743" s="638" t="s">
        <v>234</v>
      </c>
      <c r="C743" s="639"/>
      <c r="D743" s="235">
        <f>D744+D745+D746+D747+D748+D749+D750+D751</f>
        <v>727604.35</v>
      </c>
      <c r="E743" s="235">
        <f>E744+E745+E746+E747+E748+E749+E750+E751</f>
        <v>1100000</v>
      </c>
      <c r="F743" s="235">
        <f>F744+F745+F746+F747+F748+F749+F750+F751</f>
        <v>755008.1</v>
      </c>
      <c r="G743" s="170">
        <f>F743/D743</f>
        <v>1.0376629826360988</v>
      </c>
      <c r="H743" s="155">
        <f>F743/E743</f>
        <v>0.68637099999999995</v>
      </c>
      <c r="I743" s="140">
        <f>F743/F800</f>
        <v>0.13988631651808781</v>
      </c>
    </row>
    <row r="744" spans="1:9" s="17" customFormat="1" ht="16.5" customHeight="1" x14ac:dyDescent="0.3">
      <c r="A744" s="231">
        <v>13710</v>
      </c>
      <c r="B744" s="708" t="s">
        <v>235</v>
      </c>
      <c r="C744" s="709"/>
      <c r="D744" s="232">
        <v>3213.6</v>
      </c>
      <c r="E744" s="556">
        <v>5000</v>
      </c>
      <c r="F744" s="232">
        <v>824</v>
      </c>
      <c r="G744" s="91">
        <f>F744/D744</f>
        <v>0.25641025641025644</v>
      </c>
      <c r="H744" s="92">
        <f>F744/E744</f>
        <v>0.1648</v>
      </c>
      <c r="I744" s="92">
        <f>F744/F743</f>
        <v>1.0913790196423058E-3</v>
      </c>
    </row>
    <row r="745" spans="1:9" s="17" customFormat="1" ht="16.5" customHeight="1" x14ac:dyDescent="0.3">
      <c r="A745" s="231">
        <v>13720</v>
      </c>
      <c r="B745" s="708" t="s">
        <v>236</v>
      </c>
      <c r="C745" s="709"/>
      <c r="D745" s="232">
        <v>173686.89</v>
      </c>
      <c r="E745" s="556">
        <v>382000</v>
      </c>
      <c r="F745" s="232">
        <v>174654.16</v>
      </c>
      <c r="G745" s="91">
        <f>F745/D745</f>
        <v>1.0055690443878635</v>
      </c>
      <c r="H745" s="92">
        <f>F745/E745</f>
        <v>0.45720984293193717</v>
      </c>
      <c r="I745" s="92">
        <f>F745/F743</f>
        <v>0.23132753145297383</v>
      </c>
    </row>
    <row r="746" spans="1:9" s="17" customFormat="1" ht="16.5" customHeight="1" x14ac:dyDescent="0.3">
      <c r="A746" s="231">
        <v>13730</v>
      </c>
      <c r="B746" s="708" t="s">
        <v>237</v>
      </c>
      <c r="C746" s="709"/>
      <c r="D746" s="232">
        <f>0+0+0+0+0</f>
        <v>0</v>
      </c>
      <c r="E746" s="556">
        <v>4000</v>
      </c>
      <c r="F746" s="232">
        <f>0+0+0+0+0</f>
        <v>0</v>
      </c>
      <c r="G746" s="91" t="e">
        <f t="shared" ref="G746:G794" si="33">F746/D746</f>
        <v>#DIV/0!</v>
      </c>
      <c r="H746" s="92">
        <f t="shared" ref="H746:H751" si="34">F746/E746</f>
        <v>0</v>
      </c>
      <c r="I746" s="92">
        <f>F746/F743</f>
        <v>0</v>
      </c>
    </row>
    <row r="747" spans="1:9" s="17" customFormat="1" ht="16.5" customHeight="1" x14ac:dyDescent="0.3">
      <c r="A747" s="231">
        <v>13750</v>
      </c>
      <c r="B747" s="708" t="s">
        <v>238</v>
      </c>
      <c r="C747" s="709"/>
      <c r="D747" s="232">
        <f>0+0+0+0+0</f>
        <v>0</v>
      </c>
      <c r="E747" s="556">
        <v>0</v>
      </c>
      <c r="F747" s="232">
        <f>0+0+0+0+0</f>
        <v>0</v>
      </c>
      <c r="G747" s="91" t="e">
        <f t="shared" si="33"/>
        <v>#DIV/0!</v>
      </c>
      <c r="H747" s="92" t="e">
        <f t="shared" si="34"/>
        <v>#DIV/0!</v>
      </c>
      <c r="I747" s="92">
        <f>F747/F743</f>
        <v>0</v>
      </c>
    </row>
    <row r="748" spans="1:9" s="17" customFormat="1" ht="16.5" customHeight="1" x14ac:dyDescent="0.3">
      <c r="A748" s="231">
        <v>13760</v>
      </c>
      <c r="B748" s="708" t="s">
        <v>611</v>
      </c>
      <c r="C748" s="709"/>
      <c r="D748" s="232">
        <v>282332.24</v>
      </c>
      <c r="E748" s="556">
        <v>386500</v>
      </c>
      <c r="F748" s="232">
        <v>337104.59</v>
      </c>
      <c r="G748" s="91">
        <f t="shared" si="33"/>
        <v>1.193999629656181</v>
      </c>
      <c r="H748" s="92">
        <f t="shared" si="34"/>
        <v>0.87219816300129371</v>
      </c>
      <c r="I748" s="92">
        <f>F748/F743</f>
        <v>0.44649135552320568</v>
      </c>
    </row>
    <row r="749" spans="1:9" s="17" customFormat="1" ht="16.5" customHeight="1" x14ac:dyDescent="0.3">
      <c r="A749" s="178">
        <v>13770</v>
      </c>
      <c r="B749" s="648" t="s">
        <v>239</v>
      </c>
      <c r="C749" s="649"/>
      <c r="D749" s="232">
        <v>0</v>
      </c>
      <c r="E749" s="556">
        <v>23500</v>
      </c>
      <c r="F749" s="232">
        <v>0</v>
      </c>
      <c r="G749" s="165" t="e">
        <f t="shared" si="33"/>
        <v>#DIV/0!</v>
      </c>
      <c r="H749" s="92">
        <f t="shared" si="34"/>
        <v>0</v>
      </c>
      <c r="I749" s="166">
        <f>F749/F743</f>
        <v>0</v>
      </c>
    </row>
    <row r="750" spans="1:9" s="17" customFormat="1" ht="16.5" customHeight="1" x14ac:dyDescent="0.3">
      <c r="A750" s="231">
        <v>13780</v>
      </c>
      <c r="B750" s="708" t="s">
        <v>612</v>
      </c>
      <c r="C750" s="709"/>
      <c r="D750" s="232">
        <v>268371.62</v>
      </c>
      <c r="E750" s="556">
        <v>283000</v>
      </c>
      <c r="F750" s="232">
        <v>242425.35</v>
      </c>
      <c r="G750" s="91">
        <f t="shared" si="33"/>
        <v>0.90331962075572669</v>
      </c>
      <c r="H750" s="92">
        <f t="shared" si="34"/>
        <v>0.85662667844522966</v>
      </c>
      <c r="I750" s="92">
        <f>F750/F743</f>
        <v>0.32108973400417823</v>
      </c>
    </row>
    <row r="751" spans="1:9" s="17" customFormat="1" ht="16.5" customHeight="1" x14ac:dyDescent="0.3">
      <c r="A751" s="231">
        <v>13790</v>
      </c>
      <c r="B751" s="708" t="s">
        <v>240</v>
      </c>
      <c r="C751" s="709"/>
      <c r="D751" s="232">
        <f>0</f>
        <v>0</v>
      </c>
      <c r="E751" s="556">
        <v>16000</v>
      </c>
      <c r="F751" s="232">
        <f>0</f>
        <v>0</v>
      </c>
      <c r="G751" s="91" t="e">
        <f t="shared" si="33"/>
        <v>#DIV/0!</v>
      </c>
      <c r="H751" s="92">
        <f t="shared" si="34"/>
        <v>0</v>
      </c>
      <c r="I751" s="92">
        <f>F751/F743</f>
        <v>0</v>
      </c>
    </row>
    <row r="752" spans="1:9" s="17" customFormat="1" ht="16.5" customHeight="1" x14ac:dyDescent="0.2">
      <c r="A752" s="182">
        <v>1380</v>
      </c>
      <c r="B752" s="638" t="s">
        <v>241</v>
      </c>
      <c r="C752" s="639"/>
      <c r="D752" s="235">
        <f>D753+D754+D755</f>
        <v>0</v>
      </c>
      <c r="E752" s="235">
        <f>E753+E754+E755</f>
        <v>3500</v>
      </c>
      <c r="F752" s="235">
        <f>F753+F754+F755</f>
        <v>1486.6</v>
      </c>
      <c r="G752" s="170" t="e">
        <f t="shared" si="33"/>
        <v>#DIV/0!</v>
      </c>
      <c r="H752" s="155">
        <f>F752/E752</f>
        <v>0.42474285714285714</v>
      </c>
      <c r="I752" s="155">
        <f>F752/F800</f>
        <v>2.7543412863489719E-4</v>
      </c>
    </row>
    <row r="753" spans="1:9" s="17" customFormat="1" ht="16.5" customHeight="1" x14ac:dyDescent="0.2">
      <c r="A753" s="178">
        <v>13810</v>
      </c>
      <c r="B753" s="648" t="s">
        <v>436</v>
      </c>
      <c r="C753" s="649"/>
      <c r="D753" s="232">
        <v>0</v>
      </c>
      <c r="E753" s="236">
        <v>3500</v>
      </c>
      <c r="F753" s="232">
        <v>0</v>
      </c>
      <c r="G753" s="91" t="e">
        <f>F753/D753</f>
        <v>#DIV/0!</v>
      </c>
      <c r="H753" s="92">
        <f>F753/E753</f>
        <v>0</v>
      </c>
      <c r="I753" s="166">
        <f>F753/F752</f>
        <v>0</v>
      </c>
    </row>
    <row r="754" spans="1:9" s="17" customFormat="1" ht="16.5" customHeight="1" x14ac:dyDescent="0.2">
      <c r="A754" s="114">
        <v>13820</v>
      </c>
      <c r="B754" s="708" t="s">
        <v>242</v>
      </c>
      <c r="C754" s="709"/>
      <c r="D754" s="232">
        <v>0</v>
      </c>
      <c r="E754" s="236">
        <v>0</v>
      </c>
      <c r="F754" s="232">
        <v>1486.6</v>
      </c>
      <c r="G754" s="91" t="e">
        <f t="shared" si="33"/>
        <v>#DIV/0!</v>
      </c>
      <c r="H754" s="92" t="e">
        <f>F754/E754</f>
        <v>#DIV/0!</v>
      </c>
      <c r="I754" s="92">
        <f>F754/F752</f>
        <v>1</v>
      </c>
    </row>
    <row r="755" spans="1:9" s="17" customFormat="1" ht="16.5" customHeight="1" x14ac:dyDescent="0.2">
      <c r="A755" s="114">
        <v>13850</v>
      </c>
      <c r="B755" s="708" t="s">
        <v>243</v>
      </c>
      <c r="C755" s="709"/>
      <c r="D755" s="232">
        <v>0</v>
      </c>
      <c r="E755" s="236">
        <v>0</v>
      </c>
      <c r="F755" s="232">
        <v>0</v>
      </c>
      <c r="G755" s="91" t="e">
        <f t="shared" si="33"/>
        <v>#DIV/0!</v>
      </c>
      <c r="H755" s="92" t="e">
        <f>F755/D755</f>
        <v>#DIV/0!</v>
      </c>
      <c r="I755" s="92">
        <f>F755/F752</f>
        <v>0</v>
      </c>
    </row>
    <row r="756" spans="1:9" s="17" customFormat="1" ht="16.5" customHeight="1" x14ac:dyDescent="0.2">
      <c r="A756" s="182">
        <v>1390</v>
      </c>
      <c r="B756" s="638" t="s">
        <v>244</v>
      </c>
      <c r="C756" s="639"/>
      <c r="D756" s="235">
        <f>D757+D758</f>
        <v>0</v>
      </c>
      <c r="E756" s="235">
        <f>E757+E758</f>
        <v>0</v>
      </c>
      <c r="F756" s="235">
        <f>F757+F758</f>
        <v>0</v>
      </c>
      <c r="G756" s="170" t="e">
        <f>F756/D756</f>
        <v>#DIV/0!</v>
      </c>
      <c r="H756" s="155" t="e">
        <f>F756/D756</f>
        <v>#DIV/0!</v>
      </c>
      <c r="I756" s="155">
        <f>F756/F800</f>
        <v>0</v>
      </c>
    </row>
    <row r="757" spans="1:9" s="17" customFormat="1" ht="16.5" customHeight="1" x14ac:dyDescent="0.2">
      <c r="A757" s="231">
        <v>13913</v>
      </c>
      <c r="B757" s="708" t="s">
        <v>526</v>
      </c>
      <c r="C757" s="709"/>
      <c r="D757" s="232">
        <v>0</v>
      </c>
      <c r="E757" s="238">
        <v>0</v>
      </c>
      <c r="F757" s="232">
        <v>0</v>
      </c>
      <c r="G757" s="91" t="e">
        <f>F757/D757</f>
        <v>#DIV/0!</v>
      </c>
      <c r="H757" s="92" t="e">
        <f>F757/E757</f>
        <v>#DIV/0!</v>
      </c>
      <c r="I757" s="92" t="e">
        <f>F757/F756</f>
        <v>#DIV/0!</v>
      </c>
    </row>
    <row r="758" spans="1:9" s="17" customFormat="1" ht="16.5" customHeight="1" x14ac:dyDescent="0.2">
      <c r="A758" s="231">
        <v>13917</v>
      </c>
      <c r="B758" s="708" t="s">
        <v>245</v>
      </c>
      <c r="C758" s="709"/>
      <c r="D758" s="232">
        <f t="shared" ref="D758:F758" si="35">0+0</f>
        <v>0</v>
      </c>
      <c r="E758" s="238">
        <v>0</v>
      </c>
      <c r="F758" s="232">
        <f t="shared" si="35"/>
        <v>0</v>
      </c>
      <c r="G758" s="91" t="e">
        <f>F758/D758</f>
        <v>#DIV/0!</v>
      </c>
      <c r="H758" s="92" t="e">
        <f>F758/E758</f>
        <v>#DIV/0!</v>
      </c>
      <c r="I758" s="92" t="e">
        <f>F758/F756</f>
        <v>#DIV/0!</v>
      </c>
    </row>
    <row r="759" spans="1:9" s="17" customFormat="1" ht="16.5" customHeight="1" x14ac:dyDescent="0.2">
      <c r="A759" s="182">
        <v>1395</v>
      </c>
      <c r="B759" s="638" t="s">
        <v>246</v>
      </c>
      <c r="C759" s="639"/>
      <c r="D759" s="241">
        <f>D760+D761+D762+D763</f>
        <v>36523.97</v>
      </c>
      <c r="E759" s="241">
        <f>E760+E761+E762+E763</f>
        <v>88500</v>
      </c>
      <c r="F759" s="241">
        <f>F760+F761+F762+F763</f>
        <v>31211.9</v>
      </c>
      <c r="G759" s="170">
        <f>F759/D759</f>
        <v>0.85455934828552316</v>
      </c>
      <c r="H759" s="155">
        <f>F759/E759</f>
        <v>0.35267683615819212</v>
      </c>
      <c r="I759" s="155">
        <f>F759/F800</f>
        <v>5.7828753393915971E-3</v>
      </c>
    </row>
    <row r="760" spans="1:9" s="17" customFormat="1" ht="16.5" customHeight="1" x14ac:dyDescent="0.3">
      <c r="A760" s="231">
        <v>13950</v>
      </c>
      <c r="B760" s="708" t="s">
        <v>247</v>
      </c>
      <c r="C760" s="709"/>
      <c r="D760" s="232">
        <v>12898.77</v>
      </c>
      <c r="E760" s="556">
        <v>39500</v>
      </c>
      <c r="F760" s="232">
        <v>10274</v>
      </c>
      <c r="G760" s="91">
        <f>F760/D760</f>
        <v>0.79651005483468573</v>
      </c>
      <c r="H760" s="92">
        <f>F760/E760</f>
        <v>0.26010126582278481</v>
      </c>
      <c r="I760" s="92">
        <f>F760/F759</f>
        <v>0.32916932323889286</v>
      </c>
    </row>
    <row r="761" spans="1:9" s="17" customFormat="1" ht="16.5" customHeight="1" x14ac:dyDescent="0.3">
      <c r="A761" s="231">
        <v>13951</v>
      </c>
      <c r="B761" s="708" t="s">
        <v>248</v>
      </c>
      <c r="C761" s="709"/>
      <c r="D761" s="232">
        <v>23625.200000000001</v>
      </c>
      <c r="E761" s="556">
        <v>49000</v>
      </c>
      <c r="F761" s="232">
        <v>20937.900000000001</v>
      </c>
      <c r="G761" s="91">
        <f t="shared" si="33"/>
        <v>0.88625281479098594</v>
      </c>
      <c r="H761" s="92">
        <f t="shared" ref="H761:H794" si="36">F761/E761</f>
        <v>0.4273040816326531</v>
      </c>
      <c r="I761" s="92">
        <f>F761/F759</f>
        <v>0.67083067676110719</v>
      </c>
    </row>
    <row r="762" spans="1:9" s="17" customFormat="1" ht="16.5" customHeight="1" x14ac:dyDescent="0.3">
      <c r="A762" s="178">
        <v>13952</v>
      </c>
      <c r="B762" s="648" t="s">
        <v>249</v>
      </c>
      <c r="C762" s="649"/>
      <c r="D762" s="232">
        <f>0+0+0+0+0</f>
        <v>0</v>
      </c>
      <c r="E762" s="556">
        <f t="shared" ref="E762:E763" si="37">0+0</f>
        <v>0</v>
      </c>
      <c r="F762" s="232">
        <f>0+0+0+0+0</f>
        <v>0</v>
      </c>
      <c r="G762" s="165" t="e">
        <f t="shared" si="33"/>
        <v>#DIV/0!</v>
      </c>
      <c r="H762" s="166" t="e">
        <f t="shared" si="36"/>
        <v>#DIV/0!</v>
      </c>
      <c r="I762" s="166">
        <f>F762/F759</f>
        <v>0</v>
      </c>
    </row>
    <row r="763" spans="1:9" s="17" customFormat="1" ht="16.5" customHeight="1" x14ac:dyDescent="0.3">
      <c r="A763" s="178">
        <v>13953</v>
      </c>
      <c r="B763" s="648" t="s">
        <v>250</v>
      </c>
      <c r="C763" s="649"/>
      <c r="D763" s="232">
        <f>0+0+0+0+0</f>
        <v>0</v>
      </c>
      <c r="E763" s="556">
        <f t="shared" si="37"/>
        <v>0</v>
      </c>
      <c r="F763" s="232">
        <f>0+0+0+0+0</f>
        <v>0</v>
      </c>
      <c r="G763" s="165" t="e">
        <f t="shared" si="33"/>
        <v>#DIV/0!</v>
      </c>
      <c r="H763" s="166" t="e">
        <f t="shared" si="36"/>
        <v>#DIV/0!</v>
      </c>
      <c r="I763" s="166">
        <f>F763/F759</f>
        <v>0</v>
      </c>
    </row>
    <row r="764" spans="1:9" s="17" customFormat="1" ht="16.5" customHeight="1" x14ac:dyDescent="0.2">
      <c r="A764" s="182">
        <v>1400</v>
      </c>
      <c r="B764" s="638" t="s">
        <v>251</v>
      </c>
      <c r="C764" s="639"/>
      <c r="D764" s="235">
        <f>D765+D766+D767+D768+D769+D770+D776+D777+D778+D779</f>
        <v>812317.28</v>
      </c>
      <c r="E764" s="239">
        <f>E765+E766+E767+E768+E769+E770+E776+E777+E778+E779</f>
        <v>804000</v>
      </c>
      <c r="F764" s="235">
        <f>F765+F766+F767+F768+F769+F770+F771+F776+F777+F778+F779+F780</f>
        <v>1003561.54</v>
      </c>
      <c r="G764" s="170">
        <f t="shared" si="33"/>
        <v>1.2354304958279356</v>
      </c>
      <c r="H764" s="155">
        <f t="shared" si="36"/>
        <v>1.2482108706467663</v>
      </c>
      <c r="I764" s="155">
        <f>F764/F800</f>
        <v>0.18593777633620043</v>
      </c>
    </row>
    <row r="765" spans="1:9" s="17" customFormat="1" ht="16.5" customHeight="1" x14ac:dyDescent="0.3">
      <c r="A765" s="231">
        <v>14010</v>
      </c>
      <c r="B765" s="708" t="s">
        <v>252</v>
      </c>
      <c r="C765" s="709"/>
      <c r="D765" s="232">
        <v>59119.08</v>
      </c>
      <c r="E765" s="556">
        <v>90000</v>
      </c>
      <c r="F765" s="232">
        <v>80493.5</v>
      </c>
      <c r="G765" s="91">
        <f t="shared" si="33"/>
        <v>1.3615485897277155</v>
      </c>
      <c r="H765" s="92">
        <f t="shared" si="36"/>
        <v>0.89437222222222224</v>
      </c>
      <c r="I765" s="92">
        <f>F765/F764</f>
        <v>8.0207836581700803E-2</v>
      </c>
    </row>
    <row r="766" spans="1:9" s="17" customFormat="1" ht="16.5" customHeight="1" x14ac:dyDescent="0.3">
      <c r="A766" s="231">
        <v>14020</v>
      </c>
      <c r="B766" s="708" t="s">
        <v>253</v>
      </c>
      <c r="C766" s="709"/>
      <c r="D766" s="232">
        <v>43672.44</v>
      </c>
      <c r="E766" s="556">
        <v>0</v>
      </c>
      <c r="F766" s="232">
        <v>630</v>
      </c>
      <c r="G766" s="91">
        <f t="shared" si="33"/>
        <v>1.4425573656979091E-2</v>
      </c>
      <c r="H766" s="92" t="e">
        <f t="shared" si="36"/>
        <v>#DIV/0!</v>
      </c>
      <c r="I766" s="92">
        <f>F766/F764</f>
        <v>6.2776419271707044E-4</v>
      </c>
    </row>
    <row r="767" spans="1:9" s="17" customFormat="1" ht="16.5" customHeight="1" x14ac:dyDescent="0.3">
      <c r="A767" s="231">
        <v>14021</v>
      </c>
      <c r="B767" s="708" t="s">
        <v>254</v>
      </c>
      <c r="C767" s="709"/>
      <c r="D767" s="232">
        <f>0+0+0+0+0</f>
        <v>0</v>
      </c>
      <c r="E767" s="574">
        <v>0</v>
      </c>
      <c r="F767" s="232">
        <f>0+0+0+0+0</f>
        <v>0</v>
      </c>
      <c r="G767" s="91" t="e">
        <f t="shared" si="33"/>
        <v>#DIV/0!</v>
      </c>
      <c r="H767" s="92" t="e">
        <f t="shared" si="36"/>
        <v>#DIV/0!</v>
      </c>
      <c r="I767" s="92">
        <f>F767/F764</f>
        <v>0</v>
      </c>
    </row>
    <row r="768" spans="1:9" s="17" customFormat="1" ht="16.5" customHeight="1" x14ac:dyDescent="0.3">
      <c r="A768" s="231">
        <v>14022</v>
      </c>
      <c r="B768" s="708" t="s">
        <v>412</v>
      </c>
      <c r="C768" s="709"/>
      <c r="D768" s="232">
        <f>0+0+0+0+0</f>
        <v>0</v>
      </c>
      <c r="E768" s="573">
        <v>61000</v>
      </c>
      <c r="F768" s="232">
        <f>113608.8-2831</f>
        <v>110777.8</v>
      </c>
      <c r="G768" s="91" t="e">
        <f t="shared" si="33"/>
        <v>#DIV/0!</v>
      </c>
      <c r="H768" s="92">
        <f t="shared" si="36"/>
        <v>1.8160295081967213</v>
      </c>
      <c r="I768" s="92">
        <f>F768/F764</f>
        <v>0.1103846606158303</v>
      </c>
    </row>
    <row r="769" spans="1:9" s="17" customFormat="1" ht="16.5" customHeight="1" x14ac:dyDescent="0.3">
      <c r="A769" s="231">
        <v>14023</v>
      </c>
      <c r="B769" s="708" t="s">
        <v>255</v>
      </c>
      <c r="C769" s="709"/>
      <c r="D769" s="232">
        <v>117727.87</v>
      </c>
      <c r="E769" s="574">
        <v>70000</v>
      </c>
      <c r="F769" s="232">
        <v>58891.88</v>
      </c>
      <c r="G769" s="91">
        <f>F769/D769</f>
        <v>0.50023736945211017</v>
      </c>
      <c r="H769" s="92">
        <f t="shared" si="36"/>
        <v>0.84131257142857141</v>
      </c>
      <c r="I769" s="92">
        <f>F769/F764</f>
        <v>5.8682878580619977E-2</v>
      </c>
    </row>
    <row r="770" spans="1:9" s="17" customFormat="1" ht="16.5" customHeight="1" x14ac:dyDescent="0.3">
      <c r="A770" s="231">
        <v>14024</v>
      </c>
      <c r="B770" s="708" t="s">
        <v>256</v>
      </c>
      <c r="C770" s="709"/>
      <c r="D770" s="232">
        <v>120682.44</v>
      </c>
      <c r="E770" s="573">
        <f>20000+10000</f>
        <v>30000</v>
      </c>
      <c r="F770" s="232">
        <v>59962</v>
      </c>
      <c r="G770" s="91">
        <f t="shared" si="33"/>
        <v>0.49685770357311304</v>
      </c>
      <c r="H770" s="92">
        <f t="shared" si="36"/>
        <v>1.9987333333333333</v>
      </c>
      <c r="I770" s="92">
        <f>F770/F764</f>
        <v>5.9749200831271394E-2</v>
      </c>
    </row>
    <row r="771" spans="1:9" s="17" customFormat="1" ht="16.5" customHeight="1" x14ac:dyDescent="0.2">
      <c r="A771" s="114">
        <v>14026</v>
      </c>
      <c r="B771" s="584" t="s">
        <v>613</v>
      </c>
      <c r="C771" s="584"/>
      <c r="D771" s="232">
        <v>0</v>
      </c>
      <c r="E771" s="585">
        <v>0</v>
      </c>
      <c r="F771" s="232">
        <v>180</v>
      </c>
      <c r="G771" s="91" t="e">
        <f t="shared" si="33"/>
        <v>#DIV/0!</v>
      </c>
      <c r="H771" s="92" t="e">
        <f t="shared" si="36"/>
        <v>#DIV/0!</v>
      </c>
      <c r="I771" s="92">
        <f>F771/F764</f>
        <v>1.7936119791916297E-4</v>
      </c>
    </row>
    <row r="772" spans="1:9" s="17" customFormat="1" ht="16.5" customHeight="1" x14ac:dyDescent="0.2">
      <c r="A772" s="144"/>
      <c r="B772" s="145"/>
      <c r="C772" s="145"/>
      <c r="D772" s="442"/>
      <c r="F772" s="442"/>
      <c r="G772" s="431"/>
      <c r="H772" s="267"/>
      <c r="I772" s="588">
        <v>13</v>
      </c>
    </row>
    <row r="773" spans="1:9" s="17" customFormat="1" ht="16.5" customHeight="1" x14ac:dyDescent="0.2">
      <c r="A773" s="144"/>
      <c r="B773" s="145"/>
      <c r="C773" s="145"/>
      <c r="D773" s="442"/>
      <c r="F773" s="442"/>
      <c r="G773" s="431"/>
      <c r="H773" s="267"/>
      <c r="I773" s="267"/>
    </row>
    <row r="774" spans="1:9" s="17" customFormat="1" ht="16.5" customHeight="1" x14ac:dyDescent="0.2">
      <c r="A774" s="144"/>
      <c r="B774" s="145"/>
      <c r="C774" s="145"/>
      <c r="D774" s="442"/>
      <c r="F774" s="442"/>
      <c r="G774" s="431"/>
      <c r="H774" s="267"/>
      <c r="I774" s="267"/>
    </row>
    <row r="775" spans="1:9" s="17" customFormat="1" ht="16.5" customHeight="1" x14ac:dyDescent="0.2">
      <c r="I775" s="304"/>
    </row>
    <row r="776" spans="1:9" s="17" customFormat="1" ht="16.5" customHeight="1" x14ac:dyDescent="0.3">
      <c r="A776" s="231">
        <v>14030</v>
      </c>
      <c r="B776" s="708" t="s">
        <v>257</v>
      </c>
      <c r="C776" s="709"/>
      <c r="D776" s="232">
        <v>161869.99</v>
      </c>
      <c r="E776" s="556">
        <v>0</v>
      </c>
      <c r="F776" s="232">
        <v>131961.03</v>
      </c>
      <c r="G776" s="91">
        <f>F776/D776</f>
        <v>0.81522850529613311</v>
      </c>
      <c r="H776" s="92" t="e">
        <f t="shared" si="36"/>
        <v>#DIV/0!</v>
      </c>
      <c r="I776" s="92">
        <f>F776/F764</f>
        <v>0.13149271344137001</v>
      </c>
    </row>
    <row r="777" spans="1:9" s="17" customFormat="1" ht="16.5" customHeight="1" x14ac:dyDescent="0.3">
      <c r="A777" s="231">
        <v>14032</v>
      </c>
      <c r="B777" s="708" t="s">
        <v>258</v>
      </c>
      <c r="C777" s="709"/>
      <c r="D777" s="232">
        <v>281081.46000000002</v>
      </c>
      <c r="E777" s="556">
        <v>531000</v>
      </c>
      <c r="F777" s="232">
        <v>547882.28</v>
      </c>
      <c r="G777" s="91">
        <f t="shared" si="33"/>
        <v>1.9491939454135465</v>
      </c>
      <c r="H777" s="92">
        <f t="shared" si="36"/>
        <v>1.0317933709981169</v>
      </c>
      <c r="I777" s="92">
        <f>F777/F764</f>
        <v>0.54593790033045708</v>
      </c>
    </row>
    <row r="778" spans="1:9" s="17" customFormat="1" ht="16.5" customHeight="1" x14ac:dyDescent="0.3">
      <c r="A778" s="231">
        <v>14040</v>
      </c>
      <c r="B778" s="708" t="s">
        <v>259</v>
      </c>
      <c r="C778" s="709"/>
      <c r="D778" s="232">
        <v>0</v>
      </c>
      <c r="E778" s="575">
        <v>0</v>
      </c>
      <c r="F778" s="232">
        <v>999</v>
      </c>
      <c r="G778" s="91" t="e">
        <f t="shared" si="33"/>
        <v>#DIV/0!</v>
      </c>
      <c r="H778" s="92" t="e">
        <f t="shared" si="36"/>
        <v>#DIV/0!</v>
      </c>
      <c r="I778" s="92">
        <f>F778/F764</f>
        <v>9.9545464845135446E-4</v>
      </c>
    </row>
    <row r="779" spans="1:9" s="17" customFormat="1" ht="16.5" customHeight="1" x14ac:dyDescent="0.2">
      <c r="A779" s="192">
        <v>14050</v>
      </c>
      <c r="B779" s="708" t="s">
        <v>260</v>
      </c>
      <c r="C779" s="709"/>
      <c r="D779" s="232">
        <v>28164</v>
      </c>
      <c r="E779" s="504">
        <v>22000</v>
      </c>
      <c r="F779" s="232">
        <v>6789.05</v>
      </c>
      <c r="G779" s="242">
        <f t="shared" si="33"/>
        <v>0.24105418264451073</v>
      </c>
      <c r="H779" s="92">
        <f t="shared" si="36"/>
        <v>0.30859318181818185</v>
      </c>
      <c r="I779" s="243">
        <f>F779/F764</f>
        <v>6.7649563374060744E-3</v>
      </c>
    </row>
    <row r="780" spans="1:9" s="17" customFormat="1" ht="16.5" customHeight="1" x14ac:dyDescent="0.2">
      <c r="A780" s="192">
        <v>14060</v>
      </c>
      <c r="B780" s="134" t="s">
        <v>614</v>
      </c>
      <c r="C780" s="135"/>
      <c r="D780" s="232">
        <v>0</v>
      </c>
      <c r="E780" s="504">
        <v>0</v>
      </c>
      <c r="F780" s="232">
        <v>4995</v>
      </c>
      <c r="G780" s="242" t="e">
        <f t="shared" si="33"/>
        <v>#DIV/0!</v>
      </c>
      <c r="H780" s="92" t="e">
        <f t="shared" si="36"/>
        <v>#DIV/0!</v>
      </c>
      <c r="I780" s="243">
        <f>F780/F764</f>
        <v>4.9772732422567727E-3</v>
      </c>
    </row>
    <row r="781" spans="1:9" s="17" customFormat="1" ht="16.5" customHeight="1" x14ac:dyDescent="0.2">
      <c r="A781" s="182">
        <v>1410</v>
      </c>
      <c r="B781" s="638" t="s">
        <v>261</v>
      </c>
      <c r="C781" s="639"/>
      <c r="D781" s="235">
        <f>D782+D784+D783</f>
        <v>0</v>
      </c>
      <c r="E781" s="235">
        <f>E782+E784+E783</f>
        <v>0</v>
      </c>
      <c r="F781" s="235">
        <f>F782+F784+F783</f>
        <v>0</v>
      </c>
      <c r="G781" s="170" t="e">
        <f t="shared" si="33"/>
        <v>#DIV/0!</v>
      </c>
      <c r="H781" s="155" t="e">
        <f t="shared" si="36"/>
        <v>#DIV/0!</v>
      </c>
      <c r="I781" s="155">
        <f>F781/F800</f>
        <v>0</v>
      </c>
    </row>
    <row r="782" spans="1:9" s="17" customFormat="1" ht="16.5" customHeight="1" x14ac:dyDescent="0.2">
      <c r="A782" s="244">
        <v>14110</v>
      </c>
      <c r="B782" s="648" t="s">
        <v>262</v>
      </c>
      <c r="C782" s="649"/>
      <c r="D782" s="232">
        <f>0+0+0+0+0</f>
        <v>0</v>
      </c>
      <c r="E782" s="238">
        <v>0</v>
      </c>
      <c r="F782" s="232">
        <f>0+0+0+0+0</f>
        <v>0</v>
      </c>
      <c r="G782" s="91" t="e">
        <f t="shared" si="33"/>
        <v>#DIV/0!</v>
      </c>
      <c r="H782" s="92" t="e">
        <f t="shared" si="36"/>
        <v>#DIV/0!</v>
      </c>
      <c r="I782" s="92" t="e">
        <f>F782/F781</f>
        <v>#DIV/0!</v>
      </c>
    </row>
    <row r="783" spans="1:9" s="17" customFormat="1" ht="16.5" customHeight="1" x14ac:dyDescent="0.2">
      <c r="A783" s="231">
        <v>14130</v>
      </c>
      <c r="B783" s="708" t="s">
        <v>263</v>
      </c>
      <c r="C783" s="709"/>
      <c r="D783" s="232">
        <v>0</v>
      </c>
      <c r="E783" s="238">
        <v>0</v>
      </c>
      <c r="F783" s="232">
        <v>0</v>
      </c>
      <c r="G783" s="91" t="e">
        <f t="shared" si="33"/>
        <v>#DIV/0!</v>
      </c>
      <c r="H783" s="92" t="e">
        <f t="shared" si="36"/>
        <v>#DIV/0!</v>
      </c>
      <c r="I783" s="92" t="e">
        <f>F783/F781</f>
        <v>#DIV/0!</v>
      </c>
    </row>
    <row r="784" spans="1:9" s="17" customFormat="1" ht="16.5" customHeight="1" x14ac:dyDescent="0.2">
      <c r="A784" s="231">
        <v>14150</v>
      </c>
      <c r="B784" s="708" t="s">
        <v>264</v>
      </c>
      <c r="C784" s="709"/>
      <c r="D784" s="232">
        <f>0+0+0+0+0</f>
        <v>0</v>
      </c>
      <c r="E784" s="238">
        <v>0</v>
      </c>
      <c r="F784" s="232">
        <f>0+0+0+0+0</f>
        <v>0</v>
      </c>
      <c r="G784" s="91" t="e">
        <f t="shared" si="33"/>
        <v>#DIV/0!</v>
      </c>
      <c r="H784" s="92" t="e">
        <f t="shared" si="36"/>
        <v>#DIV/0!</v>
      </c>
      <c r="I784" s="92" t="e">
        <f>F784/F781</f>
        <v>#DIV/0!</v>
      </c>
    </row>
    <row r="785" spans="1:9" s="17" customFormat="1" ht="16.5" customHeight="1" x14ac:dyDescent="0.2">
      <c r="A785" s="182">
        <v>1420</v>
      </c>
      <c r="B785" s="638" t="s">
        <v>265</v>
      </c>
      <c r="C785" s="639"/>
      <c r="D785" s="235">
        <f>D786+D787+D788</f>
        <v>0</v>
      </c>
      <c r="E785" s="235">
        <f>E786+E787+E788</f>
        <v>0</v>
      </c>
      <c r="F785" s="235">
        <f>F786+F787+F788</f>
        <v>11051</v>
      </c>
      <c r="G785" s="170" t="e">
        <f t="shared" si="33"/>
        <v>#DIV/0!</v>
      </c>
      <c r="H785" s="155" t="e">
        <f t="shared" si="36"/>
        <v>#DIV/0!</v>
      </c>
      <c r="I785" s="155">
        <f>F785/F800</f>
        <v>2.0475060914464205E-3</v>
      </c>
    </row>
    <row r="786" spans="1:9" s="17" customFormat="1" ht="16.5" customHeight="1" x14ac:dyDescent="0.2">
      <c r="A786" s="231">
        <v>14210</v>
      </c>
      <c r="B786" s="708" t="s">
        <v>266</v>
      </c>
      <c r="C786" s="709"/>
      <c r="D786" s="232">
        <v>0</v>
      </c>
      <c r="E786" s="238">
        <v>0</v>
      </c>
      <c r="F786" s="232">
        <v>0</v>
      </c>
      <c r="G786" s="91" t="e">
        <f>F786/D786</f>
        <v>#DIV/0!</v>
      </c>
      <c r="H786" s="92" t="e">
        <f t="shared" si="36"/>
        <v>#DIV/0!</v>
      </c>
      <c r="I786" s="92">
        <f>F786/F785</f>
        <v>0</v>
      </c>
    </row>
    <row r="787" spans="1:9" s="17" customFormat="1" ht="16.5" customHeight="1" x14ac:dyDescent="0.2">
      <c r="A787" s="231">
        <v>14220</v>
      </c>
      <c r="B787" s="708" t="s">
        <v>267</v>
      </c>
      <c r="C787" s="709"/>
      <c r="D787" s="232">
        <v>0</v>
      </c>
      <c r="E787" s="238">
        <v>0</v>
      </c>
      <c r="F787" s="232">
        <v>11051</v>
      </c>
      <c r="G787" s="91" t="e">
        <f t="shared" si="33"/>
        <v>#DIV/0!</v>
      </c>
      <c r="H787" s="92" t="e">
        <f t="shared" si="36"/>
        <v>#DIV/0!</v>
      </c>
      <c r="I787" s="92">
        <f>F787/F785</f>
        <v>1</v>
      </c>
    </row>
    <row r="788" spans="1:9" s="17" customFormat="1" ht="16.5" customHeight="1" x14ac:dyDescent="0.2">
      <c r="A788" s="231">
        <v>14230</v>
      </c>
      <c r="B788" s="708" t="s">
        <v>268</v>
      </c>
      <c r="C788" s="709"/>
      <c r="D788" s="232">
        <v>0</v>
      </c>
      <c r="E788" s="238">
        <f>0+0</f>
        <v>0</v>
      </c>
      <c r="F788" s="232">
        <v>0</v>
      </c>
      <c r="G788" s="91" t="e">
        <f t="shared" si="33"/>
        <v>#DIV/0!</v>
      </c>
      <c r="H788" s="92" t="e">
        <f t="shared" si="36"/>
        <v>#DIV/0!</v>
      </c>
      <c r="I788" s="92">
        <f>F788/F785</f>
        <v>0</v>
      </c>
    </row>
    <row r="789" spans="1:9" s="17" customFormat="1" ht="16.5" customHeight="1" x14ac:dyDescent="0.2">
      <c r="A789" s="182">
        <v>1430</v>
      </c>
      <c r="B789" s="638" t="s">
        <v>269</v>
      </c>
      <c r="C789" s="639"/>
      <c r="D789" s="235">
        <f>D790</f>
        <v>64351.199999999997</v>
      </c>
      <c r="E789" s="235">
        <f>E790</f>
        <v>70800</v>
      </c>
      <c r="F789" s="235">
        <f>F790</f>
        <v>64939.83</v>
      </c>
      <c r="G789" s="170">
        <f t="shared" si="33"/>
        <v>1.0091471487711186</v>
      </c>
      <c r="H789" s="155">
        <f t="shared" si="36"/>
        <v>0.91722923728813566</v>
      </c>
      <c r="I789" s="155">
        <f>F789/F800</f>
        <v>1.203191543774274E-2</v>
      </c>
    </row>
    <row r="790" spans="1:9" s="17" customFormat="1" ht="16.5" customHeight="1" x14ac:dyDescent="0.2">
      <c r="A790" s="231">
        <v>14310</v>
      </c>
      <c r="B790" s="708" t="s">
        <v>270</v>
      </c>
      <c r="C790" s="709"/>
      <c r="D790" s="232">
        <v>64351.199999999997</v>
      </c>
      <c r="E790" s="505">
        <v>70800</v>
      </c>
      <c r="F790" s="232">
        <v>64939.83</v>
      </c>
      <c r="G790" s="91">
        <f t="shared" si="33"/>
        <v>1.0091471487711186</v>
      </c>
      <c r="H790" s="92">
        <f t="shared" si="36"/>
        <v>0.91722923728813566</v>
      </c>
      <c r="I790" s="92">
        <f>F790/F789</f>
        <v>1</v>
      </c>
    </row>
    <row r="791" spans="1:9" s="17" customFormat="1" ht="16.5" customHeight="1" x14ac:dyDescent="0.2">
      <c r="A791" s="182">
        <v>1440</v>
      </c>
      <c r="B791" s="638" t="s">
        <v>271</v>
      </c>
      <c r="C791" s="639"/>
      <c r="D791" s="235">
        <f>D792+D794</f>
        <v>260131.37</v>
      </c>
      <c r="E791" s="235">
        <f>E792+E794</f>
        <v>0</v>
      </c>
      <c r="F791" s="235">
        <f>F792+F793+F794+F795</f>
        <v>468350.93</v>
      </c>
      <c r="G791" s="170">
        <f t="shared" si="33"/>
        <v>1.8004400238233473</v>
      </c>
      <c r="H791" s="155" t="e">
        <f t="shared" si="36"/>
        <v>#DIV/0!</v>
      </c>
      <c r="I791" s="155">
        <f>F791/F800</f>
        <v>8.6775077559460331E-2</v>
      </c>
    </row>
    <row r="792" spans="1:9" s="17" customFormat="1" ht="16.5" customHeight="1" x14ac:dyDescent="0.2">
      <c r="A792" s="231">
        <v>14410</v>
      </c>
      <c r="B792" s="708" t="s">
        <v>271</v>
      </c>
      <c r="C792" s="709"/>
      <c r="D792" s="232">
        <v>260131.37</v>
      </c>
      <c r="E792" s="236">
        <v>0</v>
      </c>
      <c r="F792" s="232">
        <v>466826.99</v>
      </c>
      <c r="G792" s="91">
        <f t="shared" si="33"/>
        <v>1.7945816761738502</v>
      </c>
      <c r="H792" s="92" t="e">
        <f t="shared" si="36"/>
        <v>#DIV/0!</v>
      </c>
      <c r="I792" s="92">
        <f>F792/F791</f>
        <v>0.99674615784364939</v>
      </c>
    </row>
    <row r="793" spans="1:9" s="17" customFormat="1" ht="16.5" customHeight="1" x14ac:dyDescent="0.2">
      <c r="A793" s="231">
        <v>14415</v>
      </c>
      <c r="B793" s="134" t="s">
        <v>615</v>
      </c>
      <c r="C793" s="135"/>
      <c r="D793" s="232">
        <v>0</v>
      </c>
      <c r="E793" s="236">
        <v>0</v>
      </c>
      <c r="F793" s="232">
        <v>1023.94</v>
      </c>
      <c r="G793" s="91" t="e">
        <f t="shared" si="33"/>
        <v>#DIV/0!</v>
      </c>
      <c r="H793" s="92" t="e">
        <f t="shared" si="36"/>
        <v>#DIV/0!</v>
      </c>
      <c r="I793" s="92">
        <f>F793/F791</f>
        <v>2.186266609954207E-3</v>
      </c>
    </row>
    <row r="794" spans="1:9" s="17" customFormat="1" ht="16.5" customHeight="1" x14ac:dyDescent="0.2">
      <c r="A794" s="231">
        <v>14420</v>
      </c>
      <c r="B794" s="708" t="s">
        <v>272</v>
      </c>
      <c r="C794" s="709"/>
      <c r="D794" s="232">
        <f>0+0+0+0+0</f>
        <v>0</v>
      </c>
      <c r="E794" s="236">
        <v>0</v>
      </c>
      <c r="F794" s="232">
        <f>0+0+0+0+0</f>
        <v>0</v>
      </c>
      <c r="G794" s="91" t="e">
        <f t="shared" si="33"/>
        <v>#DIV/0!</v>
      </c>
      <c r="H794" s="92" t="e">
        <f t="shared" si="36"/>
        <v>#DIV/0!</v>
      </c>
      <c r="I794" s="92">
        <f>F794/F791</f>
        <v>0</v>
      </c>
    </row>
    <row r="795" spans="1:9" s="17" customFormat="1" ht="16.5" customHeight="1" x14ac:dyDescent="0.2">
      <c r="A795" s="231">
        <v>14450</v>
      </c>
      <c r="B795" s="708" t="s">
        <v>616</v>
      </c>
      <c r="C795" s="709"/>
      <c r="D795" s="232">
        <v>0</v>
      </c>
      <c r="E795" s="236">
        <v>0</v>
      </c>
      <c r="F795" s="232">
        <v>500</v>
      </c>
      <c r="G795" s="91">
        <v>0</v>
      </c>
      <c r="H795" s="92">
        <v>0</v>
      </c>
      <c r="I795" s="92">
        <f>F795/F791</f>
        <v>1.0675755463963742E-3</v>
      </c>
    </row>
    <row r="796" spans="1:9" s="17" customFormat="1" ht="16.5" customHeight="1" x14ac:dyDescent="0.2">
      <c r="A796" s="231"/>
      <c r="B796" s="694" t="s">
        <v>273</v>
      </c>
      <c r="C796" s="695"/>
      <c r="D796" s="232">
        <v>0</v>
      </c>
      <c r="E796" s="576">
        <f>8365.1+1630.16+87.11+18094.65+236.32+286</f>
        <v>28699.340000000004</v>
      </c>
      <c r="F796" s="232">
        <v>0</v>
      </c>
      <c r="G796" s="91">
        <v>0</v>
      </c>
      <c r="H796" s="92">
        <v>0</v>
      </c>
      <c r="I796" s="92">
        <v>0</v>
      </c>
    </row>
    <row r="797" spans="1:9" s="17" customFormat="1" ht="16.5" customHeight="1" x14ac:dyDescent="0.2">
      <c r="A797" s="231"/>
      <c r="B797" s="694" t="s">
        <v>191</v>
      </c>
      <c r="C797" s="695"/>
      <c r="D797" s="232">
        <v>0</v>
      </c>
      <c r="E797" s="245">
        <v>0</v>
      </c>
      <c r="F797" s="232">
        <v>0</v>
      </c>
      <c r="G797" s="91">
        <v>0</v>
      </c>
      <c r="H797" s="92">
        <v>0</v>
      </c>
      <c r="I797" s="92">
        <v>0</v>
      </c>
    </row>
    <row r="798" spans="1:9" s="17" customFormat="1" ht="16.5" customHeight="1" x14ac:dyDescent="0.2">
      <c r="A798" s="231"/>
      <c r="B798" s="694" t="s">
        <v>274</v>
      </c>
      <c r="C798" s="695"/>
      <c r="D798" s="232">
        <v>0</v>
      </c>
      <c r="E798" s="245">
        <f>E679</f>
        <v>308175.99</v>
      </c>
      <c r="F798" s="232">
        <v>0</v>
      </c>
      <c r="G798" s="91">
        <v>0</v>
      </c>
      <c r="H798" s="92">
        <v>0</v>
      </c>
      <c r="I798" s="92">
        <v>0</v>
      </c>
    </row>
    <row r="799" spans="1:9" s="17" customFormat="1" ht="16.5" customHeight="1" x14ac:dyDescent="0.2">
      <c r="A799" s="231"/>
      <c r="B799" s="694" t="s">
        <v>160</v>
      </c>
      <c r="C799" s="695"/>
      <c r="D799" s="232">
        <v>0</v>
      </c>
      <c r="E799" s="245">
        <v>0</v>
      </c>
      <c r="F799" s="232">
        <v>0</v>
      </c>
      <c r="G799" s="91">
        <v>0</v>
      </c>
      <c r="H799" s="92">
        <v>0</v>
      </c>
      <c r="I799" s="92">
        <v>0</v>
      </c>
    </row>
    <row r="800" spans="1:9" s="17" customFormat="1" ht="16.5" customHeight="1" x14ac:dyDescent="0.2">
      <c r="A800" s="246"/>
      <c r="B800" s="638" t="s">
        <v>83</v>
      </c>
      <c r="C800" s="639"/>
      <c r="D800" s="594">
        <f>D693+D703+D707+D724+D733+D743+D752+D756+D759+D764+D781+D785+D789+D791+D796+D797+D798+D799</f>
        <v>4488837.2700000005</v>
      </c>
      <c r="E800" s="594">
        <f>E693+E703+E707+E724+E733+E743+E752+E756+E759+E764+E781+E785+E789+E791+E796+E797+E798+E799</f>
        <v>5472375.3300000001</v>
      </c>
      <c r="F800" s="594">
        <f>F693+F703+F707+F724+F733+F743+F752+F756+F759+F764+F781+F785+F789+F791+F796+F797+F798+F799</f>
        <v>5397297.7400000002</v>
      </c>
      <c r="G800" s="170">
        <f>F800/D800</f>
        <v>1.202382134917535</v>
      </c>
      <c r="H800" s="155">
        <f>F800/E800</f>
        <v>0.98628062121608906</v>
      </c>
      <c r="I800" s="155">
        <f>I693+I703+I707+I724+I733+I743+I752+I759+I764+I781+I785+I789+I791</f>
        <v>1</v>
      </c>
    </row>
    <row r="801" spans="1:10" s="17" customFormat="1" ht="16.5" customHeight="1" x14ac:dyDescent="0.2">
      <c r="A801" s="23"/>
      <c r="B801" s="23"/>
      <c r="C801" s="23"/>
      <c r="D801" s="23"/>
      <c r="E801" s="23"/>
      <c r="F801" s="23"/>
      <c r="G801" s="23"/>
      <c r="H801" s="23"/>
      <c r="I801" s="23"/>
    </row>
    <row r="802" spans="1:10" s="17" customFormat="1" ht="16.5" customHeight="1" x14ac:dyDescent="0.2">
      <c r="A802" s="142"/>
      <c r="B802" s="706" t="s">
        <v>1055</v>
      </c>
      <c r="C802" s="706"/>
      <c r="D802" s="706"/>
      <c r="E802" s="706"/>
      <c r="F802" s="706"/>
      <c r="G802" s="706"/>
      <c r="H802" s="706"/>
      <c r="I802" s="706"/>
    </row>
    <row r="803" spans="1:10" s="17" customFormat="1" ht="16.5" customHeight="1" x14ac:dyDescent="0.2">
      <c r="A803" s="706" t="s">
        <v>1056</v>
      </c>
      <c r="B803" s="706"/>
      <c r="C803" s="706"/>
      <c r="D803" s="706"/>
      <c r="E803" s="706"/>
      <c r="F803" s="706"/>
      <c r="G803" s="706"/>
      <c r="H803" s="706"/>
      <c r="I803" s="706"/>
    </row>
    <row r="804" spans="1:10" ht="15.75" customHeight="1" x14ac:dyDescent="0.25">
      <c r="A804" s="145"/>
      <c r="B804" s="145" t="s">
        <v>650</v>
      </c>
      <c r="C804" s="145"/>
      <c r="D804" s="145"/>
      <c r="E804" s="145"/>
      <c r="F804" s="145"/>
      <c r="G804" s="145"/>
      <c r="H804" s="145"/>
      <c r="I804" s="142"/>
      <c r="J804" s="17"/>
    </row>
    <row r="805" spans="1:10" ht="15.75" customHeight="1" x14ac:dyDescent="0.25">
      <c r="A805" s="145" t="s">
        <v>1003</v>
      </c>
      <c r="B805" s="145"/>
      <c r="C805" s="145"/>
      <c r="D805" s="145"/>
      <c r="E805" s="145"/>
      <c r="F805" s="145"/>
      <c r="G805" s="145"/>
      <c r="H805" s="145"/>
      <c r="I805" s="142"/>
      <c r="J805" s="17"/>
    </row>
    <row r="806" spans="1:10" ht="15.75" customHeight="1" x14ac:dyDescent="0.25">
      <c r="A806" s="145" t="s">
        <v>657</v>
      </c>
      <c r="B806" s="145"/>
      <c r="C806" s="145"/>
      <c r="D806" s="145"/>
      <c r="E806" s="145"/>
      <c r="F806" s="145"/>
      <c r="G806" s="145"/>
      <c r="H806" s="145"/>
      <c r="I806" s="142"/>
      <c r="J806" s="17"/>
    </row>
    <row r="807" spans="1:10" ht="15.75" customHeight="1" x14ac:dyDescent="0.25">
      <c r="A807" s="145" t="s">
        <v>658</v>
      </c>
      <c r="B807" s="145"/>
      <c r="C807" s="145"/>
      <c r="D807" s="145"/>
      <c r="E807" s="145"/>
      <c r="F807" s="145"/>
      <c r="G807" s="145"/>
      <c r="H807" s="145"/>
      <c r="I807" s="142"/>
      <c r="J807" s="17"/>
    </row>
    <row r="808" spans="1:10" ht="15.75" customHeight="1" x14ac:dyDescent="0.25">
      <c r="A808" s="145" t="s">
        <v>652</v>
      </c>
      <c r="B808" s="145"/>
      <c r="C808" s="145"/>
      <c r="D808" s="145"/>
      <c r="E808" s="145"/>
      <c r="F808" s="145"/>
      <c r="G808" s="145"/>
      <c r="H808" s="145"/>
      <c r="I808" s="142"/>
      <c r="J808" s="17"/>
    </row>
    <row r="809" spans="1:10" s="17" customFormat="1" ht="16.5" customHeight="1" x14ac:dyDescent="0.2">
      <c r="A809" s="145" t="s">
        <v>1009</v>
      </c>
      <c r="B809" s="145"/>
      <c r="C809" s="145"/>
      <c r="D809" s="145"/>
      <c r="E809" s="145"/>
      <c r="F809" s="145"/>
      <c r="G809" s="145"/>
      <c r="H809" s="145"/>
      <c r="I809" s="142"/>
    </row>
    <row r="810" spans="1:10" s="17" customFormat="1" ht="16.5" customHeight="1" x14ac:dyDescent="0.2">
      <c r="A810" s="145" t="s">
        <v>1010</v>
      </c>
      <c r="B810" s="145"/>
      <c r="C810" s="145"/>
      <c r="D810" s="145"/>
      <c r="E810" s="145"/>
      <c r="F810" s="145"/>
      <c r="G810" s="145"/>
      <c r="H810" s="145"/>
      <c r="I810" s="142"/>
    </row>
    <row r="811" spans="1:10" s="17" customFormat="1" ht="16.5" customHeight="1" x14ac:dyDescent="0.2">
      <c r="A811" s="145" t="s">
        <v>659</v>
      </c>
      <c r="B811" s="145"/>
      <c r="C811" s="145"/>
      <c r="D811" s="145"/>
      <c r="E811" s="145"/>
      <c r="F811" s="145"/>
      <c r="G811" s="145"/>
      <c r="H811" s="145"/>
      <c r="I811" s="142"/>
    </row>
    <row r="812" spans="1:10" s="17" customFormat="1" ht="16.5" customHeight="1" x14ac:dyDescent="0.2">
      <c r="A812" s="145" t="s">
        <v>1019</v>
      </c>
      <c r="B812" s="145"/>
      <c r="C812" s="145"/>
      <c r="D812" s="145"/>
      <c r="E812" s="145"/>
      <c r="F812" s="145"/>
      <c r="G812" s="145"/>
      <c r="H812" s="145"/>
      <c r="I812" s="142"/>
    </row>
    <row r="813" spans="1:10" s="17" customFormat="1" ht="16.5" customHeight="1" x14ac:dyDescent="0.2">
      <c r="A813" s="145" t="s">
        <v>660</v>
      </c>
      <c r="B813" s="145"/>
      <c r="C813" s="145"/>
      <c r="D813" s="145"/>
      <c r="E813" s="145"/>
      <c r="F813" s="145"/>
      <c r="G813" s="145"/>
      <c r="H813" s="145"/>
      <c r="I813" s="142"/>
    </row>
    <row r="814" spans="1:10" s="17" customFormat="1" ht="16.5" customHeight="1" x14ac:dyDescent="0.2">
      <c r="A814" s="145" t="s">
        <v>661</v>
      </c>
      <c r="B814" s="145"/>
      <c r="C814" s="145"/>
      <c r="D814" s="145"/>
      <c r="E814" s="145"/>
      <c r="F814" s="145"/>
      <c r="G814" s="145"/>
      <c r="H814" s="145"/>
      <c r="I814" s="142"/>
    </row>
    <row r="815" spans="1:10" s="17" customFormat="1" ht="16.5" customHeight="1" x14ac:dyDescent="0.2">
      <c r="A815" s="145" t="s">
        <v>656</v>
      </c>
      <c r="B815" s="145"/>
      <c r="C815" s="145"/>
      <c r="D815" s="145"/>
      <c r="E815" s="145"/>
      <c r="F815" s="145"/>
      <c r="G815" s="145"/>
      <c r="H815" s="145"/>
      <c r="I815" s="142"/>
    </row>
    <row r="816" spans="1:10" s="17" customFormat="1" ht="16.5" customHeight="1" x14ac:dyDescent="0.2">
      <c r="A816" s="145" t="s">
        <v>653</v>
      </c>
      <c r="B816" s="145"/>
      <c r="C816" s="145"/>
      <c r="D816" s="145"/>
      <c r="E816" s="145"/>
      <c r="F816" s="145"/>
      <c r="G816" s="145"/>
      <c r="H816" s="145"/>
      <c r="I816" s="142"/>
    </row>
    <row r="817" spans="1:9" s="17" customFormat="1" ht="16.5" customHeight="1" x14ac:dyDescent="0.2">
      <c r="A817" s="145" t="s">
        <v>654</v>
      </c>
      <c r="B817" s="145"/>
      <c r="C817" s="145"/>
      <c r="D817" s="145"/>
      <c r="E817" s="145"/>
      <c r="F817" s="145"/>
      <c r="G817" s="145"/>
      <c r="H817" s="145"/>
      <c r="I817" s="142"/>
    </row>
    <row r="818" spans="1:9" s="17" customFormat="1" ht="16.5" customHeight="1" x14ac:dyDescent="0.2">
      <c r="A818" s="145" t="s">
        <v>655</v>
      </c>
      <c r="B818" s="145"/>
      <c r="C818" s="145"/>
      <c r="D818" s="145"/>
      <c r="E818" s="145"/>
      <c r="F818" s="145"/>
      <c r="G818" s="145"/>
      <c r="H818" s="145"/>
      <c r="I818" s="142"/>
    </row>
    <row r="819" spans="1:9" s="17" customFormat="1" ht="16.5" customHeight="1" x14ac:dyDescent="0.2">
      <c r="A819" s="145" t="s">
        <v>662</v>
      </c>
      <c r="B819" s="145"/>
      <c r="C819" s="145"/>
      <c r="D819" s="145"/>
      <c r="E819" s="145"/>
      <c r="F819" s="145"/>
      <c r="G819" s="145"/>
      <c r="H819" s="145"/>
      <c r="I819" s="142"/>
    </row>
    <row r="820" spans="1:9" s="17" customFormat="1" ht="16.5" customHeight="1" x14ac:dyDescent="0.2">
      <c r="A820" s="145" t="s">
        <v>663</v>
      </c>
      <c r="B820" s="145"/>
      <c r="C820" s="145"/>
      <c r="D820" s="145"/>
      <c r="E820" s="145"/>
      <c r="F820" s="145"/>
      <c r="G820" s="145"/>
      <c r="H820" s="145"/>
      <c r="I820" s="142"/>
    </row>
    <row r="821" spans="1:9" s="17" customFormat="1" ht="16.5" customHeight="1" x14ac:dyDescent="0.2">
      <c r="A821" s="145" t="s">
        <v>664</v>
      </c>
      <c r="B821" s="145"/>
      <c r="C821" s="145"/>
      <c r="D821" s="145"/>
      <c r="E821" s="145"/>
      <c r="F821" s="145"/>
      <c r="G821" s="145"/>
      <c r="H821" s="145"/>
      <c r="I821" s="142"/>
    </row>
    <row r="822" spans="1:9" s="17" customFormat="1" ht="16.5" customHeight="1" x14ac:dyDescent="0.2">
      <c r="A822" s="142" t="s">
        <v>1057</v>
      </c>
      <c r="B822" s="142"/>
      <c r="C822" s="142"/>
      <c r="D822" s="142"/>
      <c r="E822" s="142"/>
      <c r="F822" s="142"/>
      <c r="G822" s="142"/>
      <c r="H822" s="142"/>
      <c r="I822" s="142"/>
    </row>
    <row r="823" spans="1:9" s="17" customFormat="1" ht="16.5" customHeight="1" x14ac:dyDescent="0.2">
      <c r="A823" s="145" t="s">
        <v>665</v>
      </c>
      <c r="B823" s="145"/>
      <c r="C823" s="145"/>
      <c r="D823" s="145"/>
      <c r="E823" s="145"/>
      <c r="F823" s="145"/>
      <c r="G823" s="145"/>
      <c r="H823" s="145"/>
      <c r="I823" s="145"/>
    </row>
    <row r="824" spans="1:9" s="17" customFormat="1" ht="16.5" customHeight="1" x14ac:dyDescent="0.2">
      <c r="A824" s="145" t="s">
        <v>666</v>
      </c>
      <c r="B824" s="145"/>
      <c r="C824" s="145"/>
      <c r="D824" s="145"/>
      <c r="E824" s="145"/>
      <c r="F824" s="145"/>
      <c r="G824" s="145"/>
      <c r="H824" s="145"/>
      <c r="I824" s="145"/>
    </row>
    <row r="825" spans="1:9" s="17" customFormat="1" ht="16.5" customHeight="1" x14ac:dyDescent="0.2">
      <c r="A825" s="145" t="s">
        <v>667</v>
      </c>
      <c r="B825" s="145"/>
      <c r="C825" s="145"/>
      <c r="D825" s="145"/>
      <c r="E825" s="145"/>
      <c r="F825" s="145"/>
      <c r="G825" s="145"/>
      <c r="H825" s="145"/>
      <c r="I825" s="145"/>
    </row>
    <row r="826" spans="1:9" s="17" customFormat="1" ht="16.5" customHeight="1" x14ac:dyDescent="0.2">
      <c r="A826" s="145"/>
      <c r="B826" s="145"/>
      <c r="C826" s="145"/>
      <c r="D826" s="145"/>
      <c r="E826" s="145"/>
      <c r="F826" s="145"/>
      <c r="G826" s="145"/>
      <c r="H826" s="145"/>
      <c r="I826" s="145"/>
    </row>
    <row r="827" spans="1:9" s="17" customFormat="1" ht="16.5" customHeight="1" x14ac:dyDescent="0.2">
      <c r="A827" s="145"/>
      <c r="B827" s="145"/>
      <c r="C827" s="145"/>
      <c r="D827" s="145"/>
      <c r="E827" s="145"/>
      <c r="F827" s="145"/>
      <c r="G827" s="145"/>
      <c r="H827" s="145"/>
      <c r="I827" s="145"/>
    </row>
    <row r="828" spans="1:9" s="17" customFormat="1" ht="16.5" customHeight="1" x14ac:dyDescent="0.2">
      <c r="A828" s="145"/>
      <c r="B828" s="145"/>
      <c r="C828" s="145"/>
      <c r="D828" s="145"/>
      <c r="E828" s="145"/>
      <c r="F828" s="145"/>
      <c r="G828" s="145"/>
      <c r="H828" s="145"/>
      <c r="I828" s="257">
        <v>14</v>
      </c>
    </row>
    <row r="829" spans="1:9" s="17" customFormat="1" ht="16.5" customHeight="1" x14ac:dyDescent="0.2">
      <c r="A829" s="145"/>
      <c r="B829" s="145" t="s">
        <v>649</v>
      </c>
      <c r="C829" s="145"/>
      <c r="D829" s="145"/>
      <c r="E829" s="145"/>
      <c r="F829" s="145"/>
      <c r="G829" s="145"/>
      <c r="H829" s="145"/>
      <c r="I829" s="145"/>
    </row>
    <row r="830" spans="1:9" s="17" customFormat="1" ht="16.5" customHeight="1" x14ac:dyDescent="0.2">
      <c r="A830" s="145"/>
      <c r="B830" s="145"/>
      <c r="C830" s="145"/>
      <c r="D830" s="145"/>
      <c r="E830" s="605" t="s">
        <v>84</v>
      </c>
      <c r="F830" s="145"/>
      <c r="G830" s="145"/>
      <c r="H830" s="145"/>
      <c r="I830" s="145"/>
    </row>
    <row r="831" spans="1:9" s="17" customFormat="1" ht="16.5" customHeight="1" x14ac:dyDescent="0.2">
      <c r="A831" s="224"/>
      <c r="B831" s="247"/>
      <c r="C831" s="15"/>
      <c r="D831" s="156"/>
      <c r="E831" s="605"/>
      <c r="F831" s="156"/>
      <c r="G831" s="224"/>
      <c r="H831" s="156"/>
      <c r="I831" s="156"/>
    </row>
    <row r="832" spans="1:9" s="17" customFormat="1" ht="16.5" customHeight="1" x14ac:dyDescent="0.2">
      <c r="A832" s="26" t="s">
        <v>48</v>
      </c>
      <c r="B832" s="615" t="s">
        <v>49</v>
      </c>
      <c r="C832" s="616"/>
      <c r="D832" s="411" t="s">
        <v>85</v>
      </c>
      <c r="E832" s="409" t="s">
        <v>152</v>
      </c>
      <c r="F832" s="42" t="s">
        <v>86</v>
      </c>
      <c r="G832" s="619" t="s">
        <v>52</v>
      </c>
      <c r="H832" s="620"/>
      <c r="I832" s="613" t="s">
        <v>53</v>
      </c>
    </row>
    <row r="833" spans="1:9" s="17" customFormat="1" ht="16.5" customHeight="1" x14ac:dyDescent="0.2">
      <c r="A833" s="27" t="s">
        <v>54</v>
      </c>
      <c r="B833" s="617"/>
      <c r="C833" s="618"/>
      <c r="D833" s="412" t="s">
        <v>537</v>
      </c>
      <c r="E833" s="44" t="s">
        <v>571</v>
      </c>
      <c r="F833" s="44" t="s">
        <v>571</v>
      </c>
      <c r="G833" s="29" t="s">
        <v>55</v>
      </c>
      <c r="H833" s="29" t="s">
        <v>56</v>
      </c>
      <c r="I833" s="614"/>
    </row>
    <row r="834" spans="1:9" s="17" customFormat="1" ht="16.5" customHeight="1" x14ac:dyDescent="0.2">
      <c r="A834" s="172">
        <v>1</v>
      </c>
      <c r="B834" s="724">
        <v>2</v>
      </c>
      <c r="C834" s="725"/>
      <c r="D834" s="175">
        <v>3</v>
      </c>
      <c r="E834" s="176">
        <v>4</v>
      </c>
      <c r="F834" s="176">
        <v>5</v>
      </c>
      <c r="G834" s="176">
        <v>6</v>
      </c>
      <c r="H834" s="176">
        <v>7</v>
      </c>
      <c r="I834" s="177">
        <v>8</v>
      </c>
    </row>
    <row r="835" spans="1:9" s="17" customFormat="1" ht="16.5" customHeight="1" x14ac:dyDescent="0.2">
      <c r="A835" s="374">
        <v>16019</v>
      </c>
      <c r="B835" s="728" t="s">
        <v>57</v>
      </c>
      <c r="C835" s="729"/>
      <c r="D835" s="390">
        <v>43915.040000000001</v>
      </c>
      <c r="E835" s="558">
        <v>47500</v>
      </c>
      <c r="F835" s="390">
        <v>47371.22</v>
      </c>
      <c r="G835" s="383">
        <f t="shared" ref="G835:G872" si="38">F835/D835</f>
        <v>1.0787015109174443</v>
      </c>
      <c r="H835" s="383">
        <f t="shared" ref="H835:H872" si="39">F835/E835</f>
        <v>0.99728884210526314</v>
      </c>
      <c r="I835" s="384">
        <f>F835/F872</f>
        <v>8.7768402415390918E-3</v>
      </c>
    </row>
    <row r="836" spans="1:9" s="17" customFormat="1" ht="16.5" customHeight="1" x14ac:dyDescent="0.2">
      <c r="A836" s="374">
        <v>163</v>
      </c>
      <c r="B836" s="728" t="s">
        <v>17</v>
      </c>
      <c r="C836" s="729"/>
      <c r="D836" s="391">
        <f>D837+D838+D839</f>
        <v>1027539.49</v>
      </c>
      <c r="E836" s="391">
        <f>E837+E838+E839</f>
        <v>2386458.52</v>
      </c>
      <c r="F836" s="391">
        <f>F837+F838+F839</f>
        <v>2375799.69</v>
      </c>
      <c r="G836" s="383">
        <f t="shared" si="38"/>
        <v>2.3121249481126998</v>
      </c>
      <c r="H836" s="383">
        <f t="shared" si="39"/>
        <v>0.99553362025332837</v>
      </c>
      <c r="I836" s="385">
        <f>F836/F872</f>
        <v>0.44018318137105394</v>
      </c>
    </row>
    <row r="837" spans="1:9" s="17" customFormat="1" ht="16.5" customHeight="1" x14ac:dyDescent="0.2">
      <c r="A837" s="250">
        <v>16319</v>
      </c>
      <c r="B837" s="648" t="s">
        <v>166</v>
      </c>
      <c r="C837" s="649"/>
      <c r="D837" s="248">
        <v>1021690.87</v>
      </c>
      <c r="E837" s="396">
        <v>2377158.52</v>
      </c>
      <c r="F837" s="248">
        <v>2366761.0099999998</v>
      </c>
      <c r="G837" s="165">
        <f>F837/D837</f>
        <v>2.3165138100920877</v>
      </c>
      <c r="H837" s="165">
        <f>F837/E837</f>
        <v>0.99562607629549238</v>
      </c>
      <c r="I837" s="81">
        <f>F837/F836</f>
        <v>0.99619552101212705</v>
      </c>
    </row>
    <row r="838" spans="1:9" s="17" customFormat="1" ht="16.5" customHeight="1" x14ac:dyDescent="0.2">
      <c r="A838" s="250">
        <v>16519</v>
      </c>
      <c r="B838" s="648" t="s">
        <v>167</v>
      </c>
      <c r="C838" s="649"/>
      <c r="D838" s="181">
        <v>2560.7600000000002</v>
      </c>
      <c r="E838" s="396">
        <v>6500</v>
      </c>
      <c r="F838" s="181">
        <v>6499.68</v>
      </c>
      <c r="G838" s="165">
        <f>F838/D838</f>
        <v>2.5381839766319372</v>
      </c>
      <c r="H838" s="165">
        <f>F838/E838</f>
        <v>0.99995076923076931</v>
      </c>
      <c r="I838" s="81">
        <f>F838/F836</f>
        <v>2.7357861975308199E-3</v>
      </c>
    </row>
    <row r="839" spans="1:9" s="17" customFormat="1" ht="16.5" customHeight="1" x14ac:dyDescent="0.2">
      <c r="A839" s="250">
        <v>16559</v>
      </c>
      <c r="B839" s="648" t="s">
        <v>168</v>
      </c>
      <c r="C839" s="649"/>
      <c r="D839" s="181">
        <v>3287.86</v>
      </c>
      <c r="E839" s="396">
        <v>2800</v>
      </c>
      <c r="F839" s="181">
        <v>2539</v>
      </c>
      <c r="G839" s="165">
        <f t="shared" si="38"/>
        <v>0.77223482751698669</v>
      </c>
      <c r="H839" s="165">
        <f t="shared" si="39"/>
        <v>0.90678571428571431</v>
      </c>
      <c r="I839" s="81">
        <f>F839/F836</f>
        <v>1.0686927903421017E-3</v>
      </c>
    </row>
    <row r="840" spans="1:9" s="17" customFormat="1" ht="16.5" customHeight="1" x14ac:dyDescent="0.2">
      <c r="A840" s="374">
        <v>16637</v>
      </c>
      <c r="B840" s="728" t="s">
        <v>63</v>
      </c>
      <c r="C840" s="729"/>
      <c r="D840" s="390">
        <v>61508.75</v>
      </c>
      <c r="E840" s="394">
        <v>73500</v>
      </c>
      <c r="F840" s="390">
        <v>73495.990000000005</v>
      </c>
      <c r="G840" s="383">
        <f t="shared" si="38"/>
        <v>1.1948867437559698</v>
      </c>
      <c r="H840" s="383">
        <f t="shared" si="39"/>
        <v>0.99994544217687087</v>
      </c>
      <c r="I840" s="385">
        <f>F840/F872</f>
        <v>1.3617182808966176E-2</v>
      </c>
    </row>
    <row r="841" spans="1:9" s="17" customFormat="1" ht="16.5" customHeight="1" x14ac:dyDescent="0.2">
      <c r="A841" s="374">
        <v>16795</v>
      </c>
      <c r="B841" s="403" t="s">
        <v>64</v>
      </c>
      <c r="C841" s="404"/>
      <c r="D841" s="390">
        <v>486.6</v>
      </c>
      <c r="E841" s="394">
        <v>1000</v>
      </c>
      <c r="F841" s="390">
        <v>970</v>
      </c>
      <c r="G841" s="383">
        <f>F841/D841</f>
        <v>1.993423756678997</v>
      </c>
      <c r="H841" s="383">
        <f>F841/E841</f>
        <v>0.97</v>
      </c>
      <c r="I841" s="385">
        <f>F841/F872</f>
        <v>1.7971956462790948E-4</v>
      </c>
    </row>
    <row r="842" spans="1:9" s="17" customFormat="1" ht="16.5" customHeight="1" x14ac:dyDescent="0.2">
      <c r="A842" s="374">
        <v>16919</v>
      </c>
      <c r="B842" s="728" t="s">
        <v>65</v>
      </c>
      <c r="C842" s="729"/>
      <c r="D842" s="390">
        <v>18539.3</v>
      </c>
      <c r="E842" s="394">
        <v>54000</v>
      </c>
      <c r="F842" s="390">
        <v>53458</v>
      </c>
      <c r="G842" s="383">
        <f>F842/D842</f>
        <v>2.8834961406309838</v>
      </c>
      <c r="H842" s="383">
        <f>F842/E842</f>
        <v>0.98996296296296293</v>
      </c>
      <c r="I842" s="385">
        <f>F842/F872</f>
        <v>9.9045860679162732E-3</v>
      </c>
    </row>
    <row r="843" spans="1:9" s="17" customFormat="1" ht="16.5" customHeight="1" x14ac:dyDescent="0.2">
      <c r="A843" s="374">
        <v>17519</v>
      </c>
      <c r="B843" s="728" t="s">
        <v>25</v>
      </c>
      <c r="C843" s="729"/>
      <c r="D843" s="390">
        <v>54111.360000000001</v>
      </c>
      <c r="E843" s="394">
        <v>51899.65</v>
      </c>
      <c r="F843" s="390">
        <v>50973.08</v>
      </c>
      <c r="G843" s="383">
        <f t="shared" si="38"/>
        <v>0.94200330577534919</v>
      </c>
      <c r="H843" s="383">
        <f t="shared" si="39"/>
        <v>0.98214689309080117</v>
      </c>
      <c r="I843" s="385">
        <f>F843/F872</f>
        <v>9.4441853044779384E-3</v>
      </c>
    </row>
    <row r="844" spans="1:9" s="17" customFormat="1" ht="16.5" customHeight="1" x14ac:dyDescent="0.2">
      <c r="A844" s="374">
        <v>180</v>
      </c>
      <c r="B844" s="728" t="s">
        <v>275</v>
      </c>
      <c r="C844" s="729"/>
      <c r="D844" s="391">
        <f>D845+D846</f>
        <v>713662.69</v>
      </c>
      <c r="E844" s="391">
        <f>E845+E846</f>
        <v>728500</v>
      </c>
      <c r="F844" s="391">
        <f>F845+F846</f>
        <v>728007.82000000007</v>
      </c>
      <c r="G844" s="383">
        <f t="shared" si="38"/>
        <v>1.0201007145266345</v>
      </c>
      <c r="H844" s="383">
        <f t="shared" si="39"/>
        <v>0.99932439258750871</v>
      </c>
      <c r="I844" s="385">
        <f>F844/F872</f>
        <v>0.13488376129496238</v>
      </c>
    </row>
    <row r="845" spans="1:9" s="17" customFormat="1" ht="16.5" customHeight="1" x14ac:dyDescent="0.2">
      <c r="A845" s="250">
        <v>18019</v>
      </c>
      <c r="B845" s="648" t="s">
        <v>170</v>
      </c>
      <c r="C845" s="649"/>
      <c r="D845" s="181">
        <v>668167.68999999994</v>
      </c>
      <c r="E845" s="396">
        <v>682000</v>
      </c>
      <c r="F845" s="181">
        <v>681716.8</v>
      </c>
      <c r="G845" s="165">
        <f t="shared" si="38"/>
        <v>1.0202780083544598</v>
      </c>
      <c r="H845" s="165">
        <f t="shared" si="39"/>
        <v>0.99958475073313791</v>
      </c>
      <c r="I845" s="81">
        <f>F845/F844</f>
        <v>0.93641411709011591</v>
      </c>
    </row>
    <row r="846" spans="1:9" s="17" customFormat="1" ht="16.5" customHeight="1" x14ac:dyDescent="0.2">
      <c r="A846" s="250">
        <v>18295</v>
      </c>
      <c r="B846" s="648" t="s">
        <v>171</v>
      </c>
      <c r="C846" s="649"/>
      <c r="D846" s="181">
        <v>45495</v>
      </c>
      <c r="E846" s="396">
        <v>46500</v>
      </c>
      <c r="F846" s="181">
        <v>46291.02</v>
      </c>
      <c r="G846" s="165">
        <f t="shared" si="38"/>
        <v>1.017496867787669</v>
      </c>
      <c r="H846" s="165">
        <f t="shared" si="39"/>
        <v>0.9955058064516128</v>
      </c>
      <c r="I846" s="81">
        <f>F846/F844</f>
        <v>6.3585882909884123E-2</v>
      </c>
    </row>
    <row r="847" spans="1:9" s="17" customFormat="1" ht="16.5" customHeight="1" x14ac:dyDescent="0.2">
      <c r="A847" s="374">
        <v>19595</v>
      </c>
      <c r="B847" s="728" t="s">
        <v>172</v>
      </c>
      <c r="C847" s="729"/>
      <c r="D847" s="390">
        <v>8955.7199999999993</v>
      </c>
      <c r="E847" s="394">
        <v>13500</v>
      </c>
      <c r="F847" s="390">
        <v>13338.9</v>
      </c>
      <c r="G847" s="383">
        <f t="shared" si="38"/>
        <v>1.4894279856895929</v>
      </c>
      <c r="H847" s="383">
        <f t="shared" si="39"/>
        <v>0.98806666666666665</v>
      </c>
      <c r="I847" s="385">
        <f>F847/F872</f>
        <v>2.4714034026961048E-3</v>
      </c>
    </row>
    <row r="848" spans="1:9" s="17" customFormat="1" ht="16.5" customHeight="1" x14ac:dyDescent="0.2">
      <c r="A848" s="374">
        <v>47019</v>
      </c>
      <c r="B848" s="728" t="s">
        <v>70</v>
      </c>
      <c r="C848" s="729"/>
      <c r="D848" s="390">
        <v>15971.95</v>
      </c>
      <c r="E848" s="394">
        <v>69000</v>
      </c>
      <c r="F848" s="390">
        <v>51033.48</v>
      </c>
      <c r="G848" s="383">
        <f t="shared" si="38"/>
        <v>3.1951940746120542</v>
      </c>
      <c r="H848" s="383">
        <f t="shared" si="39"/>
        <v>0.73961565217391312</v>
      </c>
      <c r="I848" s="385">
        <f>F848/F872</f>
        <v>9.455376089739306E-3</v>
      </c>
    </row>
    <row r="849" spans="1:9" s="17" customFormat="1" ht="16.5" customHeight="1" x14ac:dyDescent="0.2">
      <c r="A849" s="374">
        <v>48019</v>
      </c>
      <c r="B849" s="728" t="s">
        <v>71</v>
      </c>
      <c r="C849" s="729"/>
      <c r="D849" s="390">
        <v>141766.19</v>
      </c>
      <c r="E849" s="394">
        <v>285698.76</v>
      </c>
      <c r="F849" s="390">
        <v>274485.89</v>
      </c>
      <c r="G849" s="383">
        <f t="shared" si="38"/>
        <v>1.9361872531102091</v>
      </c>
      <c r="H849" s="383">
        <f t="shared" si="39"/>
        <v>0.96075282230836423</v>
      </c>
      <c r="I849" s="385">
        <f>F849/F872</f>
        <v>5.0856169739488921E-2</v>
      </c>
    </row>
    <row r="850" spans="1:9" s="17" customFormat="1" ht="16.5" customHeight="1" x14ac:dyDescent="0.2">
      <c r="A850" s="374">
        <v>650</v>
      </c>
      <c r="B850" s="728" t="s">
        <v>31</v>
      </c>
      <c r="C850" s="729"/>
      <c r="D850" s="402">
        <f>D851+D852</f>
        <v>8093</v>
      </c>
      <c r="E850" s="402">
        <f>E851+E852</f>
        <v>10000</v>
      </c>
      <c r="F850" s="402">
        <f>F851+F852</f>
        <v>9640.49</v>
      </c>
      <c r="G850" s="383">
        <f t="shared" si="38"/>
        <v>1.191213394291363</v>
      </c>
      <c r="H850" s="383">
        <f t="shared" si="39"/>
        <v>0.96404899999999993</v>
      </c>
      <c r="I850" s="385">
        <f>F850/F872</f>
        <v>1.7861697583502218E-3</v>
      </c>
    </row>
    <row r="851" spans="1:9" s="17" customFormat="1" ht="16.5" customHeight="1" x14ac:dyDescent="0.2">
      <c r="A851" s="250">
        <v>65095</v>
      </c>
      <c r="B851" s="648" t="s">
        <v>173</v>
      </c>
      <c r="C851" s="649"/>
      <c r="D851" s="181">
        <v>4098.6400000000003</v>
      </c>
      <c r="E851" s="396">
        <v>6000</v>
      </c>
      <c r="F851" s="181">
        <v>5676.13</v>
      </c>
      <c r="G851" s="165">
        <f t="shared" si="38"/>
        <v>1.3848813264887865</v>
      </c>
      <c r="H851" s="165">
        <f t="shared" si="39"/>
        <v>0.94602166666666665</v>
      </c>
      <c r="I851" s="81">
        <f>F851/F850</f>
        <v>0.5887802383488806</v>
      </c>
    </row>
    <row r="852" spans="1:9" s="17" customFormat="1" ht="16.5" customHeight="1" x14ac:dyDescent="0.2">
      <c r="A852" s="250">
        <v>65495</v>
      </c>
      <c r="B852" s="648" t="s">
        <v>174</v>
      </c>
      <c r="C852" s="649"/>
      <c r="D852" s="110">
        <v>3994.36</v>
      </c>
      <c r="E852" s="396">
        <v>4000</v>
      </c>
      <c r="F852" s="110">
        <v>3964.36</v>
      </c>
      <c r="G852" s="165">
        <f t="shared" si="38"/>
        <v>0.99248941006819613</v>
      </c>
      <c r="H852" s="165">
        <f t="shared" si="39"/>
        <v>0.99109000000000003</v>
      </c>
      <c r="I852" s="81">
        <f>F852/F850</f>
        <v>0.4112197616511194</v>
      </c>
    </row>
    <row r="853" spans="1:9" s="17" customFormat="1" ht="16.5" customHeight="1" x14ac:dyDescent="0.2">
      <c r="A853" s="219"/>
      <c r="B853" s="158"/>
      <c r="C853" s="158"/>
      <c r="D853" s="443"/>
      <c r="E853" s="444"/>
      <c r="F853" s="443"/>
      <c r="G853" s="445"/>
      <c r="H853" s="445"/>
      <c r="I853" s="446"/>
    </row>
    <row r="854" spans="1:9" s="17" customFormat="1" ht="16.5" customHeight="1" x14ac:dyDescent="0.2">
      <c r="A854" s="219"/>
      <c r="B854" s="158"/>
      <c r="C854" s="158"/>
      <c r="D854" s="443"/>
      <c r="E854" s="444"/>
      <c r="F854" s="443"/>
      <c r="G854" s="445"/>
      <c r="H854" s="445"/>
      <c r="I854" s="446"/>
    </row>
    <row r="855" spans="1:9" s="17" customFormat="1" ht="16.5" customHeight="1" x14ac:dyDescent="0.2">
      <c r="A855" s="219"/>
      <c r="B855" s="158"/>
      <c r="C855" s="158"/>
      <c r="D855" s="443"/>
      <c r="E855" s="444"/>
      <c r="F855" s="443"/>
      <c r="G855" s="445"/>
      <c r="H855" s="445"/>
      <c r="I855" s="446"/>
    </row>
    <row r="856" spans="1:9" s="17" customFormat="1" ht="16.5" customHeight="1" x14ac:dyDescent="0.2">
      <c r="A856" s="219"/>
      <c r="B856" s="158"/>
      <c r="C856" s="158"/>
      <c r="D856" s="443"/>
      <c r="E856" s="444"/>
      <c r="F856" s="443"/>
      <c r="G856" s="445"/>
      <c r="H856" s="445"/>
      <c r="I856" s="446"/>
    </row>
    <row r="857" spans="1:9" s="17" customFormat="1" ht="16.5" customHeight="1" x14ac:dyDescent="0.2">
      <c r="I857" s="304"/>
    </row>
    <row r="858" spans="1:9" s="17" customFormat="1" ht="16.5" customHeight="1" x14ac:dyDescent="0.2">
      <c r="A858" s="374">
        <v>66100</v>
      </c>
      <c r="B858" s="728" t="s">
        <v>73</v>
      </c>
      <c r="C858" s="729"/>
      <c r="D858" s="400">
        <v>18801.080000000002</v>
      </c>
      <c r="E858" s="394">
        <v>16000</v>
      </c>
      <c r="F858" s="400">
        <v>15616.52</v>
      </c>
      <c r="G858" s="383">
        <f t="shared" si="38"/>
        <v>0.83061824107976767</v>
      </c>
      <c r="H858" s="383">
        <f t="shared" si="39"/>
        <v>0.97603250000000008</v>
      </c>
      <c r="I858" s="385">
        <f>F858/F872</f>
        <v>2.8933960571165371E-3</v>
      </c>
    </row>
    <row r="859" spans="1:9" s="17" customFormat="1" ht="16.5" customHeight="1" x14ac:dyDescent="0.2">
      <c r="A859" s="374">
        <v>730</v>
      </c>
      <c r="B859" s="728" t="s">
        <v>74</v>
      </c>
      <c r="C859" s="729"/>
      <c r="D859" s="401">
        <f>D860+D861</f>
        <v>637416.45000000007</v>
      </c>
      <c r="E859" s="401">
        <f>E860+E861</f>
        <v>625793.68999999994</v>
      </c>
      <c r="F859" s="401">
        <f>F860+F861</f>
        <v>624149.19999999995</v>
      </c>
      <c r="G859" s="383">
        <f t="shared" si="38"/>
        <v>0.97918589957946622</v>
      </c>
      <c r="H859" s="383">
        <f t="shared" si="39"/>
        <v>0.99737215311327287</v>
      </c>
      <c r="I859" s="388">
        <f>F859/F872</f>
        <v>0.11564105411016289</v>
      </c>
    </row>
    <row r="860" spans="1:9" s="17" customFormat="1" ht="16.5" customHeight="1" x14ac:dyDescent="0.2">
      <c r="A860" s="250">
        <v>73028</v>
      </c>
      <c r="B860" s="648" t="s">
        <v>175</v>
      </c>
      <c r="C860" s="649"/>
      <c r="D860" s="181">
        <v>4974.16</v>
      </c>
      <c r="E860" s="396">
        <v>5000</v>
      </c>
      <c r="F860" s="181">
        <v>4830.4399999999996</v>
      </c>
      <c r="G860" s="165">
        <f t="shared" si="38"/>
        <v>0.97110667931871908</v>
      </c>
      <c r="H860" s="165">
        <f t="shared" si="39"/>
        <v>0.96608799999999995</v>
      </c>
      <c r="I860" s="81">
        <f>F860/F859</f>
        <v>7.7392392716356924E-3</v>
      </c>
    </row>
    <row r="861" spans="1:9" s="17" customFormat="1" ht="16.5" customHeight="1" x14ac:dyDescent="0.2">
      <c r="A861" s="250">
        <v>74100</v>
      </c>
      <c r="B861" s="648" t="s">
        <v>176</v>
      </c>
      <c r="C861" s="649"/>
      <c r="D861" s="181">
        <v>632442.29</v>
      </c>
      <c r="E861" s="396">
        <v>620793.68999999994</v>
      </c>
      <c r="F861" s="181">
        <v>619318.76</v>
      </c>
      <c r="G861" s="165">
        <f t="shared" si="38"/>
        <v>0.97924944266456304</v>
      </c>
      <c r="H861" s="165">
        <f t="shared" si="39"/>
        <v>0.9976241221137413</v>
      </c>
      <c r="I861" s="81">
        <f>F861/F859</f>
        <v>0.99226076072836444</v>
      </c>
    </row>
    <row r="862" spans="1:9" s="17" customFormat="1" ht="16.5" customHeight="1" x14ac:dyDescent="0.2">
      <c r="A862" s="246">
        <v>75591</v>
      </c>
      <c r="B862" s="728" t="s">
        <v>177</v>
      </c>
      <c r="C862" s="729"/>
      <c r="D862" s="390">
        <v>17122.419999999998</v>
      </c>
      <c r="E862" s="394">
        <v>23700</v>
      </c>
      <c r="F862" s="390">
        <v>23518.04</v>
      </c>
      <c r="G862" s="383">
        <f t="shared" si="38"/>
        <v>1.3735231351643051</v>
      </c>
      <c r="H862" s="383">
        <f t="shared" si="39"/>
        <v>0.99232236286919839</v>
      </c>
      <c r="I862" s="385">
        <f>F862/F872</f>
        <v>4.3573731027853205E-3</v>
      </c>
    </row>
    <row r="863" spans="1:9" s="17" customFormat="1" ht="16.5" customHeight="1" x14ac:dyDescent="0.2">
      <c r="A863" s="577">
        <v>75592</v>
      </c>
      <c r="B863" s="578" t="s">
        <v>595</v>
      </c>
      <c r="C863" s="579"/>
      <c r="D863" s="580">
        <v>0</v>
      </c>
      <c r="E863" s="394">
        <v>45000</v>
      </c>
      <c r="F863" s="390">
        <v>44829.31</v>
      </c>
      <c r="G863" s="383" t="e">
        <f t="shared" si="38"/>
        <v>#DIV/0!</v>
      </c>
      <c r="H863" s="383">
        <f t="shared" si="39"/>
        <v>0.99620688888888886</v>
      </c>
      <c r="I863" s="385">
        <f>F863/F872</f>
        <v>8.3058804904841115E-3</v>
      </c>
    </row>
    <row r="864" spans="1:9" s="17" customFormat="1" ht="16.5" customHeight="1" x14ac:dyDescent="0.2">
      <c r="A864" s="374">
        <v>850</v>
      </c>
      <c r="B864" s="728" t="s">
        <v>40</v>
      </c>
      <c r="C864" s="729"/>
      <c r="D864" s="386">
        <f>D865+D866</f>
        <v>218941.42</v>
      </c>
      <c r="E864" s="386">
        <f>E865+E866</f>
        <v>102722.12</v>
      </c>
      <c r="F864" s="386">
        <f>F865+F866</f>
        <v>88229.98</v>
      </c>
      <c r="G864" s="383">
        <f t="shared" si="38"/>
        <v>0.40298441473522911</v>
      </c>
      <c r="H864" s="383">
        <f t="shared" si="39"/>
        <v>0.85891899427309326</v>
      </c>
      <c r="I864" s="385">
        <f>F864/F872</f>
        <v>1.6347065559514599E-2</v>
      </c>
    </row>
    <row r="865" spans="1:9" s="17" customFormat="1" ht="16.5" customHeight="1" x14ac:dyDescent="0.2">
      <c r="A865" s="216">
        <v>85019</v>
      </c>
      <c r="B865" s="389" t="s">
        <v>377</v>
      </c>
      <c r="C865" s="373"/>
      <c r="D865" s="6">
        <v>201791.42</v>
      </c>
      <c r="E865" s="559">
        <v>85722.12</v>
      </c>
      <c r="F865" s="6">
        <v>71251.399999999994</v>
      </c>
      <c r="G865" s="165">
        <f>F865/D865</f>
        <v>0.35309429905394385</v>
      </c>
      <c r="H865" s="165">
        <f>F865/E865</f>
        <v>0.83119036253419765</v>
      </c>
      <c r="I865" s="81">
        <f>F865/F864</f>
        <v>0.80756450358483589</v>
      </c>
    </row>
    <row r="866" spans="1:9" s="17" customFormat="1" ht="16.5" customHeight="1" x14ac:dyDescent="0.2">
      <c r="A866" s="216">
        <v>85184</v>
      </c>
      <c r="B866" s="648" t="s">
        <v>378</v>
      </c>
      <c r="C866" s="649"/>
      <c r="D866" s="6">
        <v>17150</v>
      </c>
      <c r="E866" s="463">
        <v>17000</v>
      </c>
      <c r="F866" s="6">
        <v>16978.580000000002</v>
      </c>
      <c r="G866" s="165">
        <f>F866/D866</f>
        <v>0.99000466472303217</v>
      </c>
      <c r="H866" s="165">
        <f>F866/E866</f>
        <v>0.99874000000000007</v>
      </c>
      <c r="I866" s="81">
        <f>F866/F864</f>
        <v>0.19243549641516414</v>
      </c>
    </row>
    <row r="867" spans="1:9" s="17" customFormat="1" ht="16.5" customHeight="1" x14ac:dyDescent="0.2">
      <c r="A867" s="374">
        <v>920</v>
      </c>
      <c r="B867" s="728" t="s">
        <v>78</v>
      </c>
      <c r="C867" s="729"/>
      <c r="D867" s="400">
        <f>D868+D869+D870+D871</f>
        <v>1502005.81</v>
      </c>
      <c r="E867" s="400">
        <f>E868+E869+E870+E871</f>
        <v>938102.59</v>
      </c>
      <c r="F867" s="400">
        <f>F868+F869+F870+F871</f>
        <v>922380.13</v>
      </c>
      <c r="G867" s="383">
        <f t="shared" si="38"/>
        <v>0.61409890951087598</v>
      </c>
      <c r="H867" s="383">
        <f t="shared" si="39"/>
        <v>0.98324014860677444</v>
      </c>
      <c r="I867" s="385">
        <f>F867/F872</f>
        <v>0.17089665503611809</v>
      </c>
    </row>
    <row r="868" spans="1:9" s="17" customFormat="1" ht="16.5" customHeight="1" x14ac:dyDescent="0.2">
      <c r="A868" s="250">
        <v>92095</v>
      </c>
      <c r="B868" s="648" t="s">
        <v>178</v>
      </c>
      <c r="C868" s="649"/>
      <c r="D868" s="181">
        <v>1100977.8999999999</v>
      </c>
      <c r="E868" s="396">
        <v>634094.65</v>
      </c>
      <c r="F868" s="181">
        <v>629735.77</v>
      </c>
      <c r="G868" s="165">
        <f t="shared" si="38"/>
        <v>0.57197857468347013</v>
      </c>
      <c r="H868" s="165">
        <f t="shared" si="39"/>
        <v>0.99312582120035231</v>
      </c>
      <c r="I868" s="81">
        <f>F868/F867</f>
        <v>0.68272911516426527</v>
      </c>
    </row>
    <row r="869" spans="1:9" s="17" customFormat="1" ht="16.5" customHeight="1" x14ac:dyDescent="0.2">
      <c r="A869" s="250">
        <v>92570</v>
      </c>
      <c r="B869" s="648" t="s">
        <v>179</v>
      </c>
      <c r="C869" s="649"/>
      <c r="D869" s="181">
        <v>114752.82</v>
      </c>
      <c r="E869" s="396">
        <v>130236.32</v>
      </c>
      <c r="F869" s="181">
        <v>129730.92</v>
      </c>
      <c r="G869" s="165">
        <f t="shared" si="38"/>
        <v>1.1305248969044943</v>
      </c>
      <c r="H869" s="165">
        <f t="shared" si="39"/>
        <v>0.99611936209499774</v>
      </c>
      <c r="I869" s="81">
        <f>F869/F867</f>
        <v>0.1406479994316443</v>
      </c>
    </row>
    <row r="870" spans="1:9" s="17" customFormat="1" ht="16.5" customHeight="1" x14ac:dyDescent="0.2">
      <c r="A870" s="250">
        <v>93540</v>
      </c>
      <c r="B870" s="648" t="s">
        <v>180</v>
      </c>
      <c r="C870" s="649"/>
      <c r="D870" s="181">
        <v>223176.05</v>
      </c>
      <c r="E870" s="396">
        <v>90005</v>
      </c>
      <c r="F870" s="181">
        <v>89992.35</v>
      </c>
      <c r="G870" s="165">
        <f t="shared" si="38"/>
        <v>0.40323480050838795</v>
      </c>
      <c r="H870" s="165">
        <f t="shared" si="39"/>
        <v>0.99985945225265271</v>
      </c>
      <c r="I870" s="81">
        <f>F870/F867</f>
        <v>9.7565360606803195E-2</v>
      </c>
    </row>
    <row r="871" spans="1:9" s="17" customFormat="1" ht="16.5" customHeight="1" x14ac:dyDescent="0.2">
      <c r="A871" s="250">
        <v>94740</v>
      </c>
      <c r="B871" s="648" t="s">
        <v>181</v>
      </c>
      <c r="C871" s="649"/>
      <c r="D871" s="181">
        <v>63099.040000000001</v>
      </c>
      <c r="E871" s="396">
        <v>83766.62</v>
      </c>
      <c r="F871" s="181">
        <v>72921.09</v>
      </c>
      <c r="G871" s="165">
        <f t="shared" si="38"/>
        <v>1.1556608468211242</v>
      </c>
      <c r="H871" s="165">
        <f t="shared" si="39"/>
        <v>0.87052682798947845</v>
      </c>
      <c r="I871" s="81">
        <f>F871/F867</f>
        <v>7.9057524797287199E-2</v>
      </c>
    </row>
    <row r="872" spans="1:9" s="17" customFormat="1" ht="16.5" customHeight="1" x14ac:dyDescent="0.2">
      <c r="A872" s="182"/>
      <c r="B872" s="183" t="s">
        <v>83</v>
      </c>
      <c r="C872" s="184"/>
      <c r="D872" s="467">
        <f>D835+D836+D840+D841+D842+D843+D844+D847+D848+D849+D850+D858+D859+D862+D864+D867</f>
        <v>4488837.2699999996</v>
      </c>
      <c r="E872" s="467">
        <f>E835+E836+E840+E841+E842+E843+E844+E847+E848+E849+E850+E858+E859+E862+E863+E864+E867</f>
        <v>5472375.3299999991</v>
      </c>
      <c r="F872" s="467">
        <f>F835+F836+F840+F841+F842+F843+F844+F847+F848+F849+F850+F858+F859+F862+F863+F864+F867</f>
        <v>5397297.7400000012</v>
      </c>
      <c r="G872" s="170">
        <f t="shared" si="38"/>
        <v>1.2023821349175354</v>
      </c>
      <c r="H872" s="170">
        <f t="shared" si="39"/>
        <v>0.98628062121608939</v>
      </c>
      <c r="I872" s="52">
        <f>I835+I836+I840+I841+I842+I843+I844+I847+I848+I849+I850+I858+I859+I862+I863+I864+I867</f>
        <v>0.99999999999999978</v>
      </c>
    </row>
    <row r="873" spans="1:9" s="17" customFormat="1" ht="16.5" customHeight="1" x14ac:dyDescent="0.2">
      <c r="A873" s="255"/>
      <c r="B873" s="225"/>
      <c r="C873" s="225"/>
      <c r="D873" s="586"/>
      <c r="E873" s="586"/>
      <c r="F873" s="586"/>
      <c r="G873" s="222"/>
      <c r="H873" s="222"/>
      <c r="I873" s="587"/>
    </row>
    <row r="874" spans="1:9" s="17" customFormat="1" ht="16.5" customHeight="1" x14ac:dyDescent="0.2">
      <c r="A874" s="621" t="s">
        <v>413</v>
      </c>
      <c r="B874" s="621"/>
      <c r="C874" s="621"/>
      <c r="D874" s="621"/>
      <c r="E874" s="621"/>
      <c r="F874" s="621"/>
      <c r="G874" s="621"/>
      <c r="H874" s="621"/>
      <c r="I874" s="621"/>
    </row>
    <row r="875" spans="1:9" s="17" customFormat="1" ht="16.5" customHeight="1" x14ac:dyDescent="0.2">
      <c r="A875" s="621" t="s">
        <v>1058</v>
      </c>
      <c r="B875" s="621"/>
      <c r="C875" s="621"/>
      <c r="D875" s="621"/>
      <c r="E875" s="621"/>
      <c r="F875" s="621"/>
      <c r="G875" s="621"/>
      <c r="H875" s="621"/>
      <c r="I875" s="621"/>
    </row>
    <row r="876" spans="1:9" s="17" customFormat="1" ht="16.5" customHeight="1" x14ac:dyDescent="0.2">
      <c r="A876" s="622" t="s">
        <v>1059</v>
      </c>
      <c r="B876" s="622"/>
      <c r="C876" s="622"/>
      <c r="D876" s="622"/>
      <c r="E876" s="622"/>
      <c r="F876" s="622"/>
      <c r="G876" s="622"/>
      <c r="H876" s="622"/>
      <c r="I876" s="622"/>
    </row>
    <row r="877" spans="1:9" s="17" customFormat="1" ht="21" customHeight="1" x14ac:dyDescent="0.2">
      <c r="A877" s="622" t="s">
        <v>651</v>
      </c>
      <c r="B877" s="622"/>
      <c r="C877" s="622"/>
      <c r="D877" s="622"/>
      <c r="E877" s="622"/>
      <c r="F877" s="622"/>
      <c r="G877" s="622"/>
      <c r="H877" s="622"/>
      <c r="I877" s="251"/>
    </row>
    <row r="878" spans="1:9" s="17" customFormat="1" ht="16.5" customHeight="1" x14ac:dyDescent="0.2">
      <c r="A878" s="622" t="s">
        <v>1060</v>
      </c>
      <c r="B878" s="622"/>
      <c r="C878" s="622"/>
      <c r="D878" s="622"/>
      <c r="E878" s="622"/>
      <c r="F878" s="622"/>
      <c r="G878" s="622"/>
      <c r="H878" s="622"/>
      <c r="I878" s="251"/>
    </row>
    <row r="879" spans="1:9" s="17" customFormat="1" ht="16.5" customHeight="1" x14ac:dyDescent="0.2">
      <c r="A879" s="621" t="s">
        <v>1061</v>
      </c>
      <c r="B879" s="621"/>
      <c r="C879" s="621"/>
      <c r="D879" s="621"/>
      <c r="E879" s="621"/>
      <c r="F879" s="621"/>
      <c r="G879" s="621"/>
      <c r="H879" s="621"/>
      <c r="I879" s="621"/>
    </row>
    <row r="880" spans="1:9" s="17" customFormat="1" ht="16.5" customHeight="1" x14ac:dyDescent="0.2">
      <c r="A880" s="145"/>
      <c r="B880" s="145"/>
      <c r="C880" s="145"/>
      <c r="D880" s="145"/>
      <c r="E880" s="145"/>
      <c r="F880" s="145"/>
      <c r="G880" s="145"/>
      <c r="H880" s="145"/>
      <c r="I880" s="145"/>
    </row>
    <row r="881" spans="1:9" s="17" customFormat="1" ht="16.5" customHeight="1" x14ac:dyDescent="0.2">
      <c r="A881" s="145"/>
      <c r="B881" s="145"/>
      <c r="C881" s="145"/>
      <c r="D881" s="145"/>
      <c r="E881" s="145"/>
      <c r="F881" s="145"/>
      <c r="G881" s="145"/>
      <c r="H881" s="145"/>
      <c r="I881" s="145"/>
    </row>
    <row r="882" spans="1:9" s="17" customFormat="1" ht="16.5" customHeight="1" x14ac:dyDescent="0.2">
      <c r="A882" s="145"/>
      <c r="B882" s="145"/>
      <c r="C882" s="145"/>
      <c r="D882" s="145"/>
      <c r="E882" s="145"/>
      <c r="F882" s="145"/>
      <c r="G882" s="145"/>
      <c r="H882" s="145"/>
      <c r="I882" s="145"/>
    </row>
    <row r="883" spans="1:9" s="17" customFormat="1" ht="16.5" customHeight="1" x14ac:dyDescent="0.2">
      <c r="A883" s="145"/>
      <c r="B883" s="145"/>
      <c r="C883" s="145"/>
      <c r="D883" s="145"/>
      <c r="E883" s="145"/>
      <c r="F883" s="145"/>
      <c r="G883" s="145"/>
      <c r="H883" s="145"/>
      <c r="I883" s="257">
        <v>15</v>
      </c>
    </row>
    <row r="884" spans="1:9" s="17" customFormat="1" ht="16.5" customHeight="1" x14ac:dyDescent="0.2">
      <c r="A884" s="145"/>
      <c r="B884" s="145"/>
      <c r="C884" s="145"/>
      <c r="D884" s="145"/>
      <c r="E884" s="145"/>
      <c r="F884" s="145"/>
      <c r="G884" s="145"/>
      <c r="H884" s="145"/>
      <c r="I884" s="145"/>
    </row>
    <row r="885" spans="1:9" s="17" customFormat="1" ht="16.5" customHeight="1" x14ac:dyDescent="0.2">
      <c r="A885" s="145"/>
      <c r="B885" s="705" t="s">
        <v>276</v>
      </c>
      <c r="C885" s="705"/>
      <c r="D885" s="705"/>
      <c r="E885" s="145"/>
      <c r="F885" s="145"/>
      <c r="G885" s="156"/>
      <c r="H885" s="20"/>
      <c r="I885" s="15"/>
    </row>
    <row r="886" spans="1:9" s="17" customFormat="1" ht="16.5" customHeight="1" x14ac:dyDescent="0.2">
      <c r="A886" s="145"/>
      <c r="B886" s="252"/>
      <c r="C886" s="252"/>
      <c r="D886" s="252"/>
      <c r="E886" s="145"/>
      <c r="F886" s="145"/>
      <c r="G886" s="156"/>
      <c r="H886" s="20"/>
      <c r="I886" s="15"/>
    </row>
    <row r="887" spans="1:9" s="17" customFormat="1" ht="16.5" customHeight="1" x14ac:dyDescent="0.2">
      <c r="A887" s="621" t="s">
        <v>673</v>
      </c>
      <c r="B887" s="621"/>
      <c r="C887" s="621"/>
      <c r="D887" s="621"/>
      <c r="E887" s="621"/>
      <c r="F887" s="621"/>
      <c r="G887" s="621"/>
      <c r="H887" s="621"/>
      <c r="I887" s="621"/>
    </row>
    <row r="888" spans="1:9" s="17" customFormat="1" ht="16.5" customHeight="1" x14ac:dyDescent="0.2">
      <c r="A888" s="621" t="s">
        <v>674</v>
      </c>
      <c r="B888" s="621"/>
      <c r="C888" s="621"/>
      <c r="D888" s="621"/>
      <c r="E888" s="621"/>
      <c r="F888" s="621"/>
      <c r="G888" s="621"/>
      <c r="H888" s="621"/>
      <c r="I888" s="621"/>
    </row>
    <row r="889" spans="1:9" s="17" customFormat="1" ht="16.5" customHeight="1" x14ac:dyDescent="0.2">
      <c r="A889" s="621" t="s">
        <v>677</v>
      </c>
      <c r="B889" s="621"/>
      <c r="C889" s="621"/>
      <c r="D889" s="621"/>
      <c r="E889" s="621"/>
      <c r="F889" s="621"/>
      <c r="G889" s="621"/>
      <c r="H889" s="621"/>
      <c r="I889" s="621"/>
    </row>
    <row r="890" spans="1:9" s="17" customFormat="1" ht="16.5" customHeight="1" x14ac:dyDescent="0.2">
      <c r="A890" s="589" t="s">
        <v>679</v>
      </c>
      <c r="B890" s="589"/>
      <c r="C890" s="589"/>
      <c r="D890" s="589"/>
      <c r="E890" s="589"/>
      <c r="F890" s="589"/>
      <c r="G890" s="589"/>
      <c r="H890" s="589"/>
      <c r="I890" s="589"/>
    </row>
    <row r="891" spans="1:9" s="17" customFormat="1" ht="16.5" customHeight="1" x14ac:dyDescent="0.2">
      <c r="A891" s="589" t="s">
        <v>680</v>
      </c>
      <c r="B891" s="589"/>
      <c r="C891" s="589"/>
      <c r="D891" s="589"/>
      <c r="E891" s="589"/>
      <c r="F891" s="589"/>
      <c r="G891" s="589"/>
      <c r="H891" s="589"/>
      <c r="I891" s="589"/>
    </row>
    <row r="892" spans="1:9" s="17" customFormat="1" ht="16.5" customHeight="1" x14ac:dyDescent="0.2">
      <c r="A892" s="495"/>
      <c r="B892" s="495"/>
      <c r="C892" s="495"/>
      <c r="D892" s="495"/>
      <c r="E892" s="735" t="s">
        <v>678</v>
      </c>
      <c r="F892" s="495"/>
      <c r="G892" s="495"/>
      <c r="H892" s="495"/>
      <c r="I892" s="495"/>
    </row>
    <row r="893" spans="1:9" s="17" customFormat="1" ht="16.5" customHeight="1" x14ac:dyDescent="0.2">
      <c r="A893" s="495"/>
      <c r="B893" s="495"/>
      <c r="C893" s="495"/>
      <c r="D893" s="495"/>
      <c r="E893" s="736"/>
      <c r="F893" s="495"/>
      <c r="G893" s="495"/>
      <c r="H893" s="495"/>
      <c r="I893" s="495"/>
    </row>
    <row r="894" spans="1:9" s="17" customFormat="1" ht="16.5" customHeight="1" x14ac:dyDescent="0.2">
      <c r="A894" s="613" t="s">
        <v>150</v>
      </c>
      <c r="B894" s="615" t="s">
        <v>151</v>
      </c>
      <c r="C894" s="616"/>
      <c r="D894" s="411" t="s">
        <v>85</v>
      </c>
      <c r="E894" s="409" t="s">
        <v>152</v>
      </c>
      <c r="F894" s="42" t="s">
        <v>86</v>
      </c>
      <c r="G894" s="619" t="s">
        <v>52</v>
      </c>
      <c r="H894" s="620"/>
      <c r="I894" s="613" t="s">
        <v>53</v>
      </c>
    </row>
    <row r="895" spans="1:9" s="17" customFormat="1" ht="9.9499999999999993" customHeight="1" x14ac:dyDescent="0.2">
      <c r="A895" s="614"/>
      <c r="B895" s="617"/>
      <c r="C895" s="618"/>
      <c r="D895" s="412" t="s">
        <v>537</v>
      </c>
      <c r="E895" s="44" t="s">
        <v>571</v>
      </c>
      <c r="F895" s="44" t="s">
        <v>571</v>
      </c>
      <c r="G895" s="29" t="s">
        <v>55</v>
      </c>
      <c r="H895" s="29" t="s">
        <v>56</v>
      </c>
      <c r="I895" s="614"/>
    </row>
    <row r="896" spans="1:9" s="17" customFormat="1" ht="16.5" customHeight="1" x14ac:dyDescent="0.2">
      <c r="A896" s="149">
        <v>1</v>
      </c>
      <c r="B896" s="717">
        <v>2</v>
      </c>
      <c r="C896" s="718"/>
      <c r="D896" s="147">
        <v>3</v>
      </c>
      <c r="E896" s="147">
        <v>4</v>
      </c>
      <c r="F896" s="147">
        <v>5</v>
      </c>
      <c r="G896" s="147">
        <v>6</v>
      </c>
      <c r="H896" s="147">
        <v>7</v>
      </c>
      <c r="I896" s="164">
        <v>8</v>
      </c>
    </row>
    <row r="897" spans="1:9" s="17" customFormat="1" ht="16.5" customHeight="1" x14ac:dyDescent="0.2">
      <c r="A897" s="86">
        <v>10</v>
      </c>
      <c r="B897" s="601" t="s">
        <v>199</v>
      </c>
      <c r="C897" s="602"/>
      <c r="D897" s="167">
        <f>115800+331610.52+34051.1+157983.53+17470.86+65993.73+3468.97+179238.43</f>
        <v>905617.1399999999</v>
      </c>
      <c r="E897" s="497">
        <f>122500+350000+34500+171000+24600+5000+76500+5500+128000</f>
        <v>917600</v>
      </c>
      <c r="F897" s="167">
        <f>122453.56+349997.17+34135.35+170783.74+24540.71+5000+76499.6+5500+127996.53</f>
        <v>916906.65999999992</v>
      </c>
      <c r="G897" s="89">
        <f>F897/D897</f>
        <v>1.0124661068141887</v>
      </c>
      <c r="H897" s="90">
        <f>F897/E897</f>
        <v>0.99924439843068869</v>
      </c>
      <c r="I897" s="92">
        <f>F897/F900</f>
        <v>0.94792760999566017</v>
      </c>
    </row>
    <row r="898" spans="1:9" s="17" customFormat="1" ht="16.5" customHeight="1" x14ac:dyDescent="0.2">
      <c r="A898" s="86">
        <v>21</v>
      </c>
      <c r="B898" s="601" t="s">
        <v>109</v>
      </c>
      <c r="C898" s="602"/>
      <c r="D898" s="167">
        <f>3947.1</f>
        <v>3947.1</v>
      </c>
      <c r="E898" s="497">
        <f>30000</f>
        <v>30000</v>
      </c>
      <c r="F898" s="167">
        <f>29956.38</f>
        <v>29956.38</v>
      </c>
      <c r="G898" s="91">
        <f>F898/D898</f>
        <v>7.5894656836664893</v>
      </c>
      <c r="H898" s="92">
        <f>F898/E898</f>
        <v>0.99854600000000004</v>
      </c>
      <c r="I898" s="92">
        <f>F898/F900</f>
        <v>3.0969869602127005E-2</v>
      </c>
    </row>
    <row r="899" spans="1:9" s="17" customFormat="1" ht="16.5" customHeight="1" x14ac:dyDescent="0.2">
      <c r="A899" s="86">
        <v>22</v>
      </c>
      <c r="B899" s="601" t="s">
        <v>200</v>
      </c>
      <c r="C899" s="602"/>
      <c r="D899" s="167"/>
      <c r="E899" s="497">
        <f>21053.18</f>
        <v>21053.18</v>
      </c>
      <c r="F899" s="167">
        <v>20411.939999999999</v>
      </c>
      <c r="G899" s="91" t="e">
        <f>F899/D899</f>
        <v>#DIV/0!</v>
      </c>
      <c r="H899" s="92">
        <f>F899/E899</f>
        <v>0.96954189343367603</v>
      </c>
      <c r="I899" s="92">
        <f>F899/F900</f>
        <v>2.1102520402212825E-2</v>
      </c>
    </row>
    <row r="900" spans="1:9" s="17" customFormat="1" ht="16.5" customHeight="1" x14ac:dyDescent="0.2">
      <c r="A900" s="253"/>
      <c r="B900" s="625" t="s">
        <v>83</v>
      </c>
      <c r="C900" s="626"/>
      <c r="D900" s="598">
        <f>D897+D898+D899</f>
        <v>909564.23999999987</v>
      </c>
      <c r="E900" s="414">
        <f>SUM(E897:E899)</f>
        <v>968653.18</v>
      </c>
      <c r="F900" s="598">
        <f>F897+F898+F899</f>
        <v>967274.97999999986</v>
      </c>
      <c r="G900" s="200">
        <f>F900/D900</f>
        <v>1.0634487785051883</v>
      </c>
      <c r="H900" s="206">
        <f>F900/E900</f>
        <v>0.9985771997362356</v>
      </c>
      <c r="I900" s="155">
        <f>I897+I898+I899</f>
        <v>1</v>
      </c>
    </row>
    <row r="901" spans="1:9" s="17" customFormat="1" ht="16.5" customHeight="1" x14ac:dyDescent="0.2"/>
    <row r="902" spans="1:9" s="17" customFormat="1" ht="16.5" customHeight="1" x14ac:dyDescent="0.2">
      <c r="A902" s="23"/>
      <c r="B902" s="706" t="s">
        <v>675</v>
      </c>
      <c r="C902" s="706"/>
      <c r="D902" s="706"/>
      <c r="E902" s="706"/>
      <c r="F902" s="706"/>
      <c r="G902" s="706"/>
      <c r="H902" s="706"/>
      <c r="I902" s="706"/>
    </row>
    <row r="903" spans="1:9" s="17" customFormat="1" ht="16.5" customHeight="1" x14ac:dyDescent="0.2">
      <c r="A903" s="23" t="s">
        <v>676</v>
      </c>
      <c r="B903" s="142"/>
      <c r="C903" s="142"/>
      <c r="D903" s="142"/>
      <c r="E903" s="142"/>
      <c r="F903" s="142"/>
      <c r="G903" s="142"/>
      <c r="H903" s="142"/>
      <c r="I903" s="142"/>
    </row>
    <row r="904" spans="1:9" s="17" customFormat="1" ht="16.5" customHeight="1" x14ac:dyDescent="0.2">
      <c r="A904" s="23"/>
      <c r="B904" s="142"/>
      <c r="C904" s="142"/>
      <c r="D904" s="142"/>
      <c r="E904" s="142"/>
      <c r="F904" s="142"/>
      <c r="G904" s="142"/>
      <c r="H904" s="142"/>
      <c r="I904" s="142"/>
    </row>
    <row r="905" spans="1:9" s="17" customFormat="1" ht="16.5" customHeight="1" x14ac:dyDescent="0.2">
      <c r="A905" s="23"/>
      <c r="B905" s="142"/>
      <c r="C905" s="142"/>
      <c r="D905" s="142"/>
      <c r="E905" s="142"/>
      <c r="F905" s="142"/>
      <c r="G905" s="142"/>
      <c r="H905" s="142"/>
      <c r="I905" s="142"/>
    </row>
    <row r="906" spans="1:9" s="17" customFormat="1" ht="16.5" customHeight="1" x14ac:dyDescent="0.2">
      <c r="A906" s="23"/>
      <c r="B906" s="142" t="s">
        <v>1015</v>
      </c>
      <c r="C906" s="142"/>
      <c r="D906" s="142"/>
      <c r="E906" s="142"/>
      <c r="F906" s="142"/>
      <c r="G906" s="142"/>
      <c r="H906" s="142"/>
      <c r="I906" s="142"/>
    </row>
    <row r="907" spans="1:9" s="17" customFormat="1" ht="16.5" customHeight="1" x14ac:dyDescent="0.2">
      <c r="A907" s="145"/>
      <c r="B907" s="145"/>
      <c r="C907" s="145"/>
      <c r="D907" s="145"/>
      <c r="E907" s="605" t="s">
        <v>84</v>
      </c>
      <c r="F907" s="145"/>
      <c r="G907" s="145"/>
      <c r="H907" s="145"/>
      <c r="I907" s="145"/>
    </row>
    <row r="908" spans="1:9" s="17" customFormat="1" ht="16.5" customHeight="1" x14ac:dyDescent="0.2">
      <c r="A908" s="224"/>
      <c r="B908" s="247"/>
      <c r="C908" s="15"/>
      <c r="D908" s="156"/>
      <c r="E908" s="605"/>
      <c r="F908" s="156"/>
      <c r="G908" s="224"/>
      <c r="H908" s="156"/>
      <c r="I908" s="156"/>
    </row>
    <row r="909" spans="1:9" s="17" customFormat="1" ht="16.5" customHeight="1" x14ac:dyDescent="0.2">
      <c r="A909" s="192" t="s">
        <v>48</v>
      </c>
      <c r="B909" s="615" t="s">
        <v>151</v>
      </c>
      <c r="C909" s="616"/>
      <c r="D909" s="411" t="s">
        <v>85</v>
      </c>
      <c r="E909" s="409" t="s">
        <v>152</v>
      </c>
      <c r="F909" s="42" t="s">
        <v>86</v>
      </c>
      <c r="G909" s="619" t="s">
        <v>52</v>
      </c>
      <c r="H909" s="620"/>
      <c r="I909" s="613" t="s">
        <v>53</v>
      </c>
    </row>
    <row r="910" spans="1:9" s="17" customFormat="1" ht="12" customHeight="1" x14ac:dyDescent="0.2">
      <c r="A910" s="193" t="s">
        <v>87</v>
      </c>
      <c r="B910" s="617"/>
      <c r="C910" s="618"/>
      <c r="D910" s="412" t="s">
        <v>537</v>
      </c>
      <c r="E910" s="44" t="s">
        <v>571</v>
      </c>
      <c r="F910" s="44" t="s">
        <v>571</v>
      </c>
      <c r="G910" s="29" t="s">
        <v>55</v>
      </c>
      <c r="H910" s="29" t="s">
        <v>56</v>
      </c>
      <c r="I910" s="614"/>
    </row>
    <row r="911" spans="1:9" s="17" customFormat="1" ht="16.5" customHeight="1" x14ac:dyDescent="0.2">
      <c r="A911" s="149">
        <v>1</v>
      </c>
      <c r="B911" s="717">
        <v>2</v>
      </c>
      <c r="C911" s="718"/>
      <c r="D911" s="147">
        <v>3</v>
      </c>
      <c r="E911" s="147">
        <v>4</v>
      </c>
      <c r="F911" s="147">
        <v>5</v>
      </c>
      <c r="G911" s="147">
        <v>6</v>
      </c>
      <c r="H911" s="147">
        <v>7</v>
      </c>
      <c r="I911" s="164">
        <v>8</v>
      </c>
    </row>
    <row r="912" spans="1:9" s="17" customFormat="1" ht="16.5" customHeight="1" x14ac:dyDescent="0.2">
      <c r="A912" s="86">
        <v>13210</v>
      </c>
      <c r="B912" s="601" t="s">
        <v>617</v>
      </c>
      <c r="C912" s="602"/>
      <c r="D912" s="167">
        <v>688830.43</v>
      </c>
      <c r="E912" s="497">
        <v>800000</v>
      </c>
      <c r="F912" s="167">
        <v>775547.18</v>
      </c>
      <c r="G912" s="89">
        <f t="shared" ref="G912:G919" si="40">F912/D912</f>
        <v>1.1258898361966965</v>
      </c>
      <c r="H912" s="90">
        <f t="shared" ref="H912:H919" si="41">F912/E912</f>
        <v>0.96943397500000006</v>
      </c>
      <c r="I912" s="92">
        <f>F912/F919</f>
        <v>0.80178563080376586</v>
      </c>
    </row>
    <row r="913" spans="1:14" s="17" customFormat="1" ht="16.5" customHeight="1" x14ac:dyDescent="0.2">
      <c r="A913" s="162">
        <v>13220</v>
      </c>
      <c r="B913" s="601" t="s">
        <v>618</v>
      </c>
      <c r="C913" s="602"/>
      <c r="D913" s="167">
        <v>93845.22</v>
      </c>
      <c r="E913" s="500">
        <v>78000</v>
      </c>
      <c r="F913" s="167">
        <v>81902.039999999994</v>
      </c>
      <c r="G913" s="89">
        <f t="shared" si="40"/>
        <v>0.87273534016969634</v>
      </c>
      <c r="H913" s="90">
        <f t="shared" si="41"/>
        <v>1.0500261538461537</v>
      </c>
      <c r="I913" s="92">
        <f>F913/F919</f>
        <v>8.4672964455257585E-2</v>
      </c>
    </row>
    <row r="914" spans="1:14" s="17" customFormat="1" ht="16.5" customHeight="1" x14ac:dyDescent="0.2">
      <c r="A914" s="162">
        <v>13230</v>
      </c>
      <c r="B914" s="601" t="s">
        <v>277</v>
      </c>
      <c r="C914" s="602"/>
      <c r="D914" s="167">
        <v>66971.83</v>
      </c>
      <c r="E914" s="497">
        <v>50600</v>
      </c>
      <c r="F914" s="167">
        <v>60074.75</v>
      </c>
      <c r="G914" s="89">
        <f t="shared" si="40"/>
        <v>0.89701520773734267</v>
      </c>
      <c r="H914" s="90">
        <f t="shared" si="41"/>
        <v>1.187248023715415</v>
      </c>
      <c r="I914" s="92">
        <f>F914/F919</f>
        <v>6.2107209678885722E-2</v>
      </c>
    </row>
    <row r="915" spans="1:14" s="17" customFormat="1" ht="16.5" customHeight="1" x14ac:dyDescent="0.2">
      <c r="A915" s="162">
        <v>13240</v>
      </c>
      <c r="B915" s="601" t="s">
        <v>278</v>
      </c>
      <c r="C915" s="602"/>
      <c r="D915" s="167">
        <v>0</v>
      </c>
      <c r="E915" s="497">
        <v>600</v>
      </c>
      <c r="F915" s="167">
        <v>0</v>
      </c>
      <c r="G915" s="89" t="e">
        <f t="shared" si="40"/>
        <v>#DIV/0!</v>
      </c>
      <c r="H915" s="92">
        <f t="shared" si="41"/>
        <v>0</v>
      </c>
      <c r="I915" s="92">
        <f>F915/F919</f>
        <v>0</v>
      </c>
    </row>
    <row r="916" spans="1:14" s="17" customFormat="1" ht="16.5" customHeight="1" x14ac:dyDescent="0.2">
      <c r="A916" s="162">
        <v>13250</v>
      </c>
      <c r="B916" s="601" t="s">
        <v>619</v>
      </c>
      <c r="C916" s="602"/>
      <c r="D916" s="167">
        <v>22389.02</v>
      </c>
      <c r="E916" s="497">
        <v>18400</v>
      </c>
      <c r="F916" s="167">
        <v>22569.62</v>
      </c>
      <c r="G916" s="89">
        <f t="shared" si="40"/>
        <v>1.0080664540028996</v>
      </c>
      <c r="H916" s="92">
        <f t="shared" si="41"/>
        <v>1.2266097826086957</v>
      </c>
      <c r="I916" s="92">
        <f>F916/F919</f>
        <v>2.3333199417605113E-2</v>
      </c>
    </row>
    <row r="917" spans="1:14" s="17" customFormat="1" ht="16.5" customHeight="1" x14ac:dyDescent="0.2">
      <c r="A917" s="162">
        <v>13260</v>
      </c>
      <c r="B917" s="601" t="s">
        <v>279</v>
      </c>
      <c r="C917" s="602"/>
      <c r="D917" s="167">
        <v>37527.74</v>
      </c>
      <c r="E917" s="497">
        <v>0</v>
      </c>
      <c r="F917" s="167">
        <v>27181.39</v>
      </c>
      <c r="G917" s="89">
        <f t="shared" si="40"/>
        <v>0.72430127686879098</v>
      </c>
      <c r="H917" s="92" t="e">
        <f t="shared" si="41"/>
        <v>#DIV/0!</v>
      </c>
      <c r="I917" s="92">
        <f>F917/F919</f>
        <v>2.8100995644485705E-2</v>
      </c>
    </row>
    <row r="918" spans="1:14" s="17" customFormat="1" ht="16.5" customHeight="1" x14ac:dyDescent="0.2">
      <c r="A918" s="162"/>
      <c r="B918" s="694" t="s">
        <v>273</v>
      </c>
      <c r="C918" s="695"/>
      <c r="D918" s="6"/>
      <c r="E918" s="497">
        <f>21053.18</f>
        <v>21053.18</v>
      </c>
      <c r="F918" s="6"/>
      <c r="G918" s="89" t="e">
        <f t="shared" si="40"/>
        <v>#DIV/0!</v>
      </c>
      <c r="H918" s="90">
        <f t="shared" si="41"/>
        <v>0</v>
      </c>
      <c r="I918" s="92">
        <f>F918/F919</f>
        <v>0</v>
      </c>
    </row>
    <row r="919" spans="1:14" s="17" customFormat="1" ht="16.5" customHeight="1" x14ac:dyDescent="0.2">
      <c r="A919" s="168"/>
      <c r="B919" s="625" t="s">
        <v>83</v>
      </c>
      <c r="C919" s="626"/>
      <c r="D919" s="595">
        <f>SUM(D912:D918)</f>
        <v>909564.24</v>
      </c>
      <c r="E919" s="595">
        <f>SUM(E912:E918)</f>
        <v>968653.18</v>
      </c>
      <c r="F919" s="595">
        <f>SUM(F912:F918)</f>
        <v>967274.9800000001</v>
      </c>
      <c r="G919" s="170">
        <f t="shared" si="40"/>
        <v>1.0634487785051885</v>
      </c>
      <c r="H919" s="206">
        <f t="shared" si="41"/>
        <v>0.99857719973623593</v>
      </c>
      <c r="I919" s="155">
        <f>I912+I913+I914+I915+I916+I917</f>
        <v>1</v>
      </c>
    </row>
    <row r="920" spans="1:14" s="17" customFormat="1" ht="16.5" customHeight="1" x14ac:dyDescent="0.2">
      <c r="A920" s="23"/>
      <c r="B920" s="23"/>
      <c r="C920" s="15"/>
      <c r="D920" s="23"/>
      <c r="E920" s="23"/>
      <c r="F920" s="23"/>
      <c r="G920" s="23"/>
      <c r="H920" s="23"/>
      <c r="I920" s="224"/>
    </row>
    <row r="921" spans="1:14" s="17" customFormat="1" ht="16.5" customHeight="1" x14ac:dyDescent="0.25">
      <c r="A921" s="156" t="s">
        <v>681</v>
      </c>
      <c r="B921" s="156"/>
      <c r="C921" s="156"/>
      <c r="D921" s="156"/>
      <c r="E921" s="156"/>
      <c r="F921" s="156"/>
      <c r="G921" s="156"/>
      <c r="H921" s="156"/>
      <c r="I921" s="156"/>
      <c r="N921"/>
    </row>
    <row r="922" spans="1:14" s="17" customFormat="1" ht="16.5" customHeight="1" x14ac:dyDescent="0.25">
      <c r="A922" s="621" t="s">
        <v>682</v>
      </c>
      <c r="B922" s="621"/>
      <c r="C922" s="621"/>
      <c r="D922" s="621"/>
      <c r="E922" s="621"/>
      <c r="F922" s="621"/>
      <c r="G922" s="621"/>
      <c r="H922" s="621"/>
      <c r="I922" s="621"/>
      <c r="N922"/>
    </row>
    <row r="923" spans="1:14" s="17" customFormat="1" ht="16.5" customHeight="1" x14ac:dyDescent="0.25">
      <c r="A923" s="621" t="s">
        <v>683</v>
      </c>
      <c r="B923" s="621"/>
      <c r="C923" s="621"/>
      <c r="D923" s="621"/>
      <c r="E923" s="621"/>
      <c r="F923" s="621"/>
      <c r="G923" s="621"/>
      <c r="H923" s="621"/>
      <c r="I923" s="621"/>
      <c r="N923"/>
    </row>
    <row r="924" spans="1:14" s="17" customFormat="1" ht="16.5" customHeight="1" x14ac:dyDescent="0.25">
      <c r="A924" s="145" t="s">
        <v>684</v>
      </c>
      <c r="B924" s="145"/>
      <c r="C924" s="145"/>
      <c r="D924" s="145"/>
      <c r="E924" s="145"/>
      <c r="F924" s="145"/>
      <c r="G924" s="145"/>
      <c r="H924" s="145"/>
      <c r="I924" s="145"/>
      <c r="N924"/>
    </row>
    <row r="925" spans="1:14" s="17" customFormat="1" ht="16.5" customHeight="1" x14ac:dyDescent="0.25">
      <c r="A925" s="145"/>
      <c r="B925" s="145"/>
      <c r="C925" s="145"/>
      <c r="D925" s="145"/>
      <c r="E925" s="145"/>
      <c r="F925" s="145"/>
      <c r="G925" s="145"/>
      <c r="H925" s="145"/>
      <c r="I925" s="145"/>
      <c r="N925"/>
    </row>
    <row r="926" spans="1:14" s="17" customFormat="1" ht="16.5" customHeight="1" x14ac:dyDescent="0.25">
      <c r="A926" s="145"/>
      <c r="B926" s="145"/>
      <c r="C926" s="145"/>
      <c r="D926" s="145"/>
      <c r="E926" s="145"/>
      <c r="F926" s="145"/>
      <c r="G926" s="145"/>
      <c r="H926" s="145"/>
      <c r="I926" s="145"/>
      <c r="N926"/>
    </row>
    <row r="927" spans="1:14" s="17" customFormat="1" ht="16.5" customHeight="1" x14ac:dyDescent="0.25">
      <c r="A927" s="145"/>
      <c r="B927" s="145"/>
      <c r="C927" s="145"/>
      <c r="D927" s="145"/>
      <c r="E927" s="145"/>
      <c r="F927" s="145"/>
      <c r="G927" s="145"/>
      <c r="H927" s="145"/>
      <c r="I927" s="145"/>
      <c r="N927"/>
    </row>
    <row r="928" spans="1:14" s="17" customFormat="1" ht="16.5" customHeight="1" x14ac:dyDescent="0.25">
      <c r="A928" s="145"/>
      <c r="B928" s="145"/>
      <c r="C928" s="145"/>
      <c r="D928" s="145"/>
      <c r="E928" s="145"/>
      <c r="F928" s="145"/>
      <c r="G928" s="145"/>
      <c r="H928" s="145"/>
      <c r="I928" s="145"/>
      <c r="N928"/>
    </row>
    <row r="929" spans="1:14" s="17" customFormat="1" ht="16.5" customHeight="1" x14ac:dyDescent="0.25">
      <c r="A929" s="145"/>
      <c r="B929" s="145"/>
      <c r="C929" s="145"/>
      <c r="D929" s="145"/>
      <c r="E929" s="145"/>
      <c r="F929" s="145"/>
      <c r="G929" s="145"/>
      <c r="H929" s="145"/>
      <c r="I929" s="145"/>
      <c r="N929"/>
    </row>
    <row r="930" spans="1:14" s="17" customFormat="1" ht="16.5" customHeight="1" x14ac:dyDescent="0.25">
      <c r="A930" s="145"/>
      <c r="B930" s="145"/>
      <c r="C930" s="145"/>
      <c r="D930" s="145"/>
      <c r="E930" s="145"/>
      <c r="F930" s="145"/>
      <c r="G930" s="145"/>
      <c r="H930" s="145"/>
      <c r="I930" s="145"/>
      <c r="N930"/>
    </row>
    <row r="931" spans="1:14" s="17" customFormat="1" ht="16.5" customHeight="1" x14ac:dyDescent="0.25">
      <c r="A931" s="145"/>
      <c r="B931" s="145"/>
      <c r="C931" s="145"/>
      <c r="D931" s="145"/>
      <c r="E931" s="145"/>
      <c r="F931" s="145"/>
      <c r="G931" s="145"/>
      <c r="H931" s="145"/>
      <c r="I931" s="145"/>
      <c r="N931"/>
    </row>
    <row r="932" spans="1:14" s="17" customFormat="1" ht="16.5" customHeight="1" x14ac:dyDescent="0.25">
      <c r="A932" s="145"/>
      <c r="B932" s="145"/>
      <c r="C932" s="145"/>
      <c r="D932" s="145"/>
      <c r="E932" s="145"/>
      <c r="F932" s="145"/>
      <c r="G932" s="145"/>
      <c r="H932" s="145"/>
      <c r="I932" s="145"/>
      <c r="N932"/>
    </row>
    <row r="933" spans="1:14" s="17" customFormat="1" ht="16.5" customHeight="1" x14ac:dyDescent="0.25">
      <c r="A933" s="145"/>
      <c r="B933" s="145"/>
      <c r="C933" s="145"/>
      <c r="D933" s="145"/>
      <c r="E933" s="145"/>
      <c r="F933" s="145"/>
      <c r="G933" s="145"/>
      <c r="H933" s="145"/>
      <c r="I933" s="145"/>
      <c r="N933"/>
    </row>
    <row r="934" spans="1:14" s="17" customFormat="1" ht="16.5" customHeight="1" x14ac:dyDescent="0.25">
      <c r="A934" s="145"/>
      <c r="B934" s="145"/>
      <c r="C934" s="145"/>
      <c r="D934" s="145"/>
      <c r="E934" s="145"/>
      <c r="F934" s="145"/>
      <c r="G934" s="145"/>
      <c r="H934" s="145"/>
      <c r="I934" s="145"/>
      <c r="N934"/>
    </row>
    <row r="935" spans="1:14" s="17" customFormat="1" ht="16.5" customHeight="1" x14ac:dyDescent="0.25">
      <c r="A935" s="145"/>
      <c r="B935" s="145"/>
      <c r="C935" s="145"/>
      <c r="D935" s="145"/>
      <c r="E935" s="145"/>
      <c r="F935" s="145"/>
      <c r="G935" s="145"/>
      <c r="H935" s="145"/>
      <c r="I935" s="145"/>
      <c r="N935"/>
    </row>
    <row r="936" spans="1:14" s="17" customFormat="1" ht="16.5" customHeight="1" x14ac:dyDescent="0.25">
      <c r="A936" s="145"/>
      <c r="B936" s="145"/>
      <c r="C936" s="145"/>
      <c r="D936" s="145"/>
      <c r="E936" s="145"/>
      <c r="F936" s="145"/>
      <c r="G936" s="145"/>
      <c r="H936" s="145"/>
      <c r="I936" s="145"/>
      <c r="N936"/>
    </row>
    <row r="937" spans="1:14" s="17" customFormat="1" ht="16.5" customHeight="1" x14ac:dyDescent="0.25">
      <c r="A937" s="145"/>
      <c r="B937" s="145"/>
      <c r="C937" s="145"/>
      <c r="D937" s="145"/>
      <c r="E937" s="145"/>
      <c r="F937" s="145"/>
      <c r="G937" s="145"/>
      <c r="H937" s="145"/>
      <c r="I937" s="145"/>
      <c r="N937"/>
    </row>
    <row r="938" spans="1:14" s="17" customFormat="1" ht="16.5" customHeight="1" x14ac:dyDescent="0.25">
      <c r="A938" s="145"/>
      <c r="B938" s="145"/>
      <c r="C938" s="145"/>
      <c r="D938" s="145"/>
      <c r="E938" s="145"/>
      <c r="F938" s="145"/>
      <c r="G938" s="145"/>
      <c r="H938" s="145"/>
      <c r="I938" s="145"/>
      <c r="N938"/>
    </row>
    <row r="939" spans="1:14" s="17" customFormat="1" ht="16.5" customHeight="1" x14ac:dyDescent="0.25">
      <c r="A939" s="145"/>
      <c r="B939" s="145"/>
      <c r="C939" s="145"/>
      <c r="D939" s="145"/>
      <c r="E939" s="145"/>
      <c r="F939" s="145"/>
      <c r="G939" s="145"/>
      <c r="H939" s="145"/>
      <c r="I939" s="257">
        <v>16</v>
      </c>
      <c r="N939"/>
    </row>
    <row r="940" spans="1:14" s="17" customFormat="1" ht="16.5" customHeight="1" x14ac:dyDescent="0.25">
      <c r="A940" s="145"/>
      <c r="B940" s="145"/>
      <c r="C940" s="145"/>
      <c r="D940" s="145"/>
      <c r="E940" s="145"/>
      <c r="F940" s="145"/>
      <c r="G940" s="145"/>
      <c r="H940" s="145"/>
      <c r="I940" s="257"/>
      <c r="N940"/>
    </row>
    <row r="941" spans="1:14" s="17" customFormat="1" ht="16.5" customHeight="1" x14ac:dyDescent="0.25">
      <c r="A941" s="621" t="s">
        <v>414</v>
      </c>
      <c r="B941" s="621"/>
      <c r="C941" s="621"/>
      <c r="D941" s="621"/>
      <c r="E941" s="621"/>
      <c r="F941" s="621"/>
      <c r="G941" s="621"/>
      <c r="H941" s="621"/>
      <c r="I941" s="621"/>
      <c r="N941"/>
    </row>
    <row r="942" spans="1:14" s="17" customFormat="1" ht="16.5" customHeight="1" x14ac:dyDescent="0.2">
      <c r="A942" s="145"/>
      <c r="B942" s="145"/>
      <c r="C942" s="145"/>
      <c r="D942" s="145"/>
      <c r="E942" s="605" t="s">
        <v>84</v>
      </c>
      <c r="F942" s="145"/>
      <c r="G942" s="145"/>
      <c r="H942" s="145"/>
      <c r="I942" s="145"/>
    </row>
    <row r="943" spans="1:14" s="17" customFormat="1" ht="16.5" customHeight="1" x14ac:dyDescent="0.2">
      <c r="A943" s="224"/>
      <c r="B943" s="247"/>
      <c r="C943" s="15"/>
      <c r="D943" s="156"/>
      <c r="E943" s="605"/>
      <c r="F943" s="156"/>
      <c r="G943" s="224"/>
      <c r="H943" s="156"/>
      <c r="I943" s="156"/>
    </row>
    <row r="944" spans="1:14" s="17" customFormat="1" ht="16.5" customHeight="1" x14ac:dyDescent="0.2">
      <c r="A944" s="26" t="s">
        <v>48</v>
      </c>
      <c r="B944" s="615" t="s">
        <v>49</v>
      </c>
      <c r="C944" s="616"/>
      <c r="D944" s="411" t="s">
        <v>85</v>
      </c>
      <c r="E944" s="409" t="s">
        <v>152</v>
      </c>
      <c r="F944" s="42" t="s">
        <v>86</v>
      </c>
      <c r="G944" s="619" t="s">
        <v>52</v>
      </c>
      <c r="H944" s="620"/>
      <c r="I944" s="613" t="s">
        <v>53</v>
      </c>
    </row>
    <row r="945" spans="1:9" s="17" customFormat="1" ht="16.5" customHeight="1" x14ac:dyDescent="0.2">
      <c r="A945" s="27" t="s">
        <v>54</v>
      </c>
      <c r="B945" s="617"/>
      <c r="C945" s="618"/>
      <c r="D945" s="412" t="s">
        <v>537</v>
      </c>
      <c r="E945" s="44" t="s">
        <v>571</v>
      </c>
      <c r="F945" s="44" t="s">
        <v>571</v>
      </c>
      <c r="G945" s="29" t="s">
        <v>55</v>
      </c>
      <c r="H945" s="29" t="s">
        <v>56</v>
      </c>
      <c r="I945" s="614"/>
    </row>
    <row r="946" spans="1:9" s="17" customFormat="1" ht="16.5" customHeight="1" x14ac:dyDescent="0.2">
      <c r="A946" s="172">
        <v>1</v>
      </c>
      <c r="B946" s="724">
        <v>2</v>
      </c>
      <c r="C946" s="725"/>
      <c r="D946" s="175">
        <v>3</v>
      </c>
      <c r="E946" s="176">
        <v>4</v>
      </c>
      <c r="F946" s="176">
        <v>5</v>
      </c>
      <c r="G946" s="176">
        <v>6</v>
      </c>
      <c r="H946" s="176">
        <v>7</v>
      </c>
      <c r="I946" s="177">
        <v>8</v>
      </c>
    </row>
    <row r="947" spans="1:9" s="17" customFormat="1" ht="16.5" customHeight="1" x14ac:dyDescent="0.2">
      <c r="A947" s="182">
        <v>16019</v>
      </c>
      <c r="B947" s="638" t="s">
        <v>57</v>
      </c>
      <c r="C947" s="639"/>
      <c r="D947" s="185">
        <v>0</v>
      </c>
      <c r="E947" s="185">
        <f>0+0+0</f>
        <v>0</v>
      </c>
      <c r="F947" s="185">
        <v>0</v>
      </c>
      <c r="G947" s="170" t="e">
        <f t="shared" ref="G947:G979" si="42">F947/D947</f>
        <v>#DIV/0!</v>
      </c>
      <c r="H947" s="170" t="e">
        <f t="shared" ref="H947:H979" si="43">F947/E947</f>
        <v>#DIV/0!</v>
      </c>
      <c r="I947" s="155">
        <f>F947/F979</f>
        <v>0</v>
      </c>
    </row>
    <row r="948" spans="1:9" s="17" customFormat="1" ht="16.5" customHeight="1" x14ac:dyDescent="0.2">
      <c r="A948" s="182">
        <v>163</v>
      </c>
      <c r="B948" s="638" t="s">
        <v>17</v>
      </c>
      <c r="C948" s="639"/>
      <c r="D948" s="199">
        <f>D949+D950+D951</f>
        <v>115800</v>
      </c>
      <c r="E948" s="199">
        <f>E949+E950+E951</f>
        <v>122500</v>
      </c>
      <c r="F948" s="199">
        <f>F949+F950+F951</f>
        <v>122453.56</v>
      </c>
      <c r="G948" s="170">
        <f t="shared" si="42"/>
        <v>1.0574573402417962</v>
      </c>
      <c r="H948" s="170">
        <f t="shared" si="43"/>
        <v>0.99962089795918363</v>
      </c>
      <c r="I948" s="52">
        <f>F948/F979</f>
        <v>0.12659643072748558</v>
      </c>
    </row>
    <row r="949" spans="1:9" s="17" customFormat="1" ht="16.5" customHeight="1" x14ac:dyDescent="0.2">
      <c r="A949" s="250">
        <v>16319</v>
      </c>
      <c r="B949" s="648" t="s">
        <v>166</v>
      </c>
      <c r="C949" s="649"/>
      <c r="D949" s="6">
        <v>115800</v>
      </c>
      <c r="E949" s="6">
        <v>122500</v>
      </c>
      <c r="F949" s="6">
        <v>122453.56</v>
      </c>
      <c r="G949" s="165">
        <f t="shared" si="42"/>
        <v>1.0574573402417962</v>
      </c>
      <c r="H949" s="165">
        <f t="shared" si="43"/>
        <v>0.99962089795918363</v>
      </c>
      <c r="I949" s="81">
        <f>F949/F948</f>
        <v>1</v>
      </c>
    </row>
    <row r="950" spans="1:9" s="17" customFormat="1" ht="16.5" customHeight="1" x14ac:dyDescent="0.2">
      <c r="A950" s="250">
        <v>16519</v>
      </c>
      <c r="B950" s="648" t="s">
        <v>167</v>
      </c>
      <c r="C950" s="649"/>
      <c r="D950" s="6">
        <v>0</v>
      </c>
      <c r="E950" s="6">
        <f t="shared" ref="E950:E955" si="44">0+0+0</f>
        <v>0</v>
      </c>
      <c r="F950" s="6">
        <v>0</v>
      </c>
      <c r="G950" s="165" t="e">
        <f t="shared" si="42"/>
        <v>#DIV/0!</v>
      </c>
      <c r="H950" s="165" t="e">
        <f t="shared" si="43"/>
        <v>#DIV/0!</v>
      </c>
      <c r="I950" s="81">
        <f>F950/F948</f>
        <v>0</v>
      </c>
    </row>
    <row r="951" spans="1:9" s="17" customFormat="1" ht="16.5" customHeight="1" x14ac:dyDescent="0.2">
      <c r="A951" s="250">
        <v>16559</v>
      </c>
      <c r="B951" s="648" t="s">
        <v>168</v>
      </c>
      <c r="C951" s="649"/>
      <c r="D951" s="6">
        <v>0</v>
      </c>
      <c r="E951" s="6">
        <f t="shared" si="44"/>
        <v>0</v>
      </c>
      <c r="F951" s="6">
        <v>0</v>
      </c>
      <c r="G951" s="165" t="e">
        <f t="shared" si="42"/>
        <v>#DIV/0!</v>
      </c>
      <c r="H951" s="165" t="e">
        <f t="shared" si="43"/>
        <v>#DIV/0!</v>
      </c>
      <c r="I951" s="81">
        <f>F951/F948</f>
        <v>0</v>
      </c>
    </row>
    <row r="952" spans="1:9" s="17" customFormat="1" ht="16.5" customHeight="1" x14ac:dyDescent="0.2">
      <c r="A952" s="182">
        <v>16637</v>
      </c>
      <c r="B952" s="638" t="s">
        <v>63</v>
      </c>
      <c r="C952" s="639"/>
      <c r="D952" s="185">
        <v>0</v>
      </c>
      <c r="E952" s="185">
        <f t="shared" si="44"/>
        <v>0</v>
      </c>
      <c r="F952" s="185">
        <v>0</v>
      </c>
      <c r="G952" s="170" t="e">
        <f t="shared" si="42"/>
        <v>#DIV/0!</v>
      </c>
      <c r="H952" s="170" t="e">
        <f t="shared" si="43"/>
        <v>#DIV/0!</v>
      </c>
      <c r="I952" s="52">
        <f>F952/F979</f>
        <v>0</v>
      </c>
    </row>
    <row r="953" spans="1:9" s="17" customFormat="1" ht="16.5" customHeight="1" x14ac:dyDescent="0.2">
      <c r="A953" s="182">
        <v>16795</v>
      </c>
      <c r="B953" s="638" t="s">
        <v>64</v>
      </c>
      <c r="C953" s="639"/>
      <c r="D953" s="185">
        <v>0</v>
      </c>
      <c r="E953" s="185">
        <f t="shared" si="44"/>
        <v>0</v>
      </c>
      <c r="F953" s="185">
        <v>0</v>
      </c>
      <c r="G953" s="170" t="e">
        <f t="shared" si="42"/>
        <v>#DIV/0!</v>
      </c>
      <c r="H953" s="170" t="e">
        <f t="shared" si="43"/>
        <v>#DIV/0!</v>
      </c>
      <c r="I953" s="52">
        <f>F953/F979</f>
        <v>0</v>
      </c>
    </row>
    <row r="954" spans="1:9" s="17" customFormat="1" ht="16.5" customHeight="1" x14ac:dyDescent="0.2">
      <c r="A954" s="182">
        <v>16919</v>
      </c>
      <c r="B954" s="638" t="s">
        <v>65</v>
      </c>
      <c r="C954" s="639"/>
      <c r="D954" s="185">
        <v>0</v>
      </c>
      <c r="E954" s="185">
        <f t="shared" si="44"/>
        <v>0</v>
      </c>
      <c r="F954" s="185">
        <v>0</v>
      </c>
      <c r="G954" s="170" t="e">
        <f t="shared" si="42"/>
        <v>#DIV/0!</v>
      </c>
      <c r="H954" s="170" t="e">
        <f t="shared" si="43"/>
        <v>#DIV/0!</v>
      </c>
      <c r="I954" s="52">
        <f>F954/F979</f>
        <v>0</v>
      </c>
    </row>
    <row r="955" spans="1:9" s="17" customFormat="1" ht="16.5" customHeight="1" x14ac:dyDescent="0.2">
      <c r="A955" s="182">
        <v>17519</v>
      </c>
      <c r="B955" s="638" t="s">
        <v>25</v>
      </c>
      <c r="C955" s="639"/>
      <c r="D955" s="185">
        <v>0</v>
      </c>
      <c r="E955" s="185">
        <f t="shared" si="44"/>
        <v>0</v>
      </c>
      <c r="F955" s="185">
        <v>0</v>
      </c>
      <c r="G955" s="170" t="e">
        <f t="shared" si="42"/>
        <v>#DIV/0!</v>
      </c>
      <c r="H955" s="170" t="e">
        <f t="shared" si="43"/>
        <v>#DIV/0!</v>
      </c>
      <c r="I955" s="52">
        <f>F955/F979</f>
        <v>0</v>
      </c>
    </row>
    <row r="956" spans="1:9" s="17" customFormat="1" ht="16.5" customHeight="1" x14ac:dyDescent="0.2">
      <c r="A956" s="182">
        <v>180</v>
      </c>
      <c r="B956" s="638" t="s">
        <v>275</v>
      </c>
      <c r="C956" s="639"/>
      <c r="D956" s="185">
        <f>D957+D958</f>
        <v>369608.72</v>
      </c>
      <c r="E956" s="185">
        <f>E957+E958</f>
        <v>435553.18</v>
      </c>
      <c r="F956" s="185">
        <f>F957+F958</f>
        <v>434500.83999999997</v>
      </c>
      <c r="G956" s="170">
        <f t="shared" si="42"/>
        <v>1.1755697755182832</v>
      </c>
      <c r="H956" s="170">
        <f t="shared" si="43"/>
        <v>0.99758390008769993</v>
      </c>
      <c r="I956" s="52">
        <f>F956/F979</f>
        <v>0.44920095007523098</v>
      </c>
    </row>
    <row r="957" spans="1:9" s="17" customFormat="1" ht="16.5" customHeight="1" x14ac:dyDescent="0.2">
      <c r="A957" s="250">
        <v>18019</v>
      </c>
      <c r="B957" s="648" t="s">
        <v>170</v>
      </c>
      <c r="C957" s="649"/>
      <c r="D957" s="167">
        <v>335557.62</v>
      </c>
      <c r="E957" s="179">
        <v>401053.18</v>
      </c>
      <c r="F957" s="167">
        <v>400365.49</v>
      </c>
      <c r="G957" s="165">
        <f t="shared" si="42"/>
        <v>1.1931348481968611</v>
      </c>
      <c r="H957" s="165">
        <f t="shared" si="43"/>
        <v>0.99828528974636233</v>
      </c>
      <c r="I957" s="81">
        <f>F957/F956</f>
        <v>0.92143778134007759</v>
      </c>
    </row>
    <row r="958" spans="1:9" s="17" customFormat="1" ht="16.5" customHeight="1" x14ac:dyDescent="0.2">
      <c r="A958" s="250">
        <v>18295</v>
      </c>
      <c r="B958" s="648" t="s">
        <v>171</v>
      </c>
      <c r="C958" s="649"/>
      <c r="D958" s="6">
        <v>34051.1</v>
      </c>
      <c r="E958" s="179">
        <v>34500</v>
      </c>
      <c r="F958" s="6">
        <v>34135.35</v>
      </c>
      <c r="G958" s="165">
        <f t="shared" si="42"/>
        <v>1.0024742225654972</v>
      </c>
      <c r="H958" s="165">
        <f t="shared" si="43"/>
        <v>0.98943043478260861</v>
      </c>
      <c r="I958" s="81">
        <f>F958/F956</f>
        <v>7.8562218659922495E-2</v>
      </c>
    </row>
    <row r="959" spans="1:9" s="17" customFormat="1" ht="16.5" customHeight="1" x14ac:dyDescent="0.2">
      <c r="A959" s="182">
        <v>19595</v>
      </c>
      <c r="B959" s="638" t="s">
        <v>172</v>
      </c>
      <c r="C959" s="639"/>
      <c r="D959" s="185">
        <f>0+0+0+0+0</f>
        <v>0</v>
      </c>
      <c r="E959" s="185">
        <f>0+0+0</f>
        <v>0</v>
      </c>
      <c r="F959" s="185">
        <f>0+0+0+0+0</f>
        <v>0</v>
      </c>
      <c r="G959" s="170" t="e">
        <f t="shared" si="42"/>
        <v>#DIV/0!</v>
      </c>
      <c r="H959" s="170" t="e">
        <f t="shared" si="43"/>
        <v>#DIV/0!</v>
      </c>
      <c r="I959" s="52">
        <f>F959/F979</f>
        <v>0</v>
      </c>
    </row>
    <row r="960" spans="1:9" s="17" customFormat="1" ht="16.5" customHeight="1" x14ac:dyDescent="0.2">
      <c r="A960" s="182">
        <v>47019</v>
      </c>
      <c r="B960" s="638" t="s">
        <v>70</v>
      </c>
      <c r="C960" s="639"/>
      <c r="D960" s="185">
        <v>0</v>
      </c>
      <c r="E960" s="185">
        <f>0+0+0</f>
        <v>0</v>
      </c>
      <c r="F960" s="185">
        <v>0</v>
      </c>
      <c r="G960" s="170" t="e">
        <f t="shared" si="42"/>
        <v>#DIV/0!</v>
      </c>
      <c r="H960" s="170" t="e">
        <f t="shared" si="43"/>
        <v>#DIV/0!</v>
      </c>
      <c r="I960" s="52">
        <f>F960/F979</f>
        <v>0</v>
      </c>
    </row>
    <row r="961" spans="1:9" s="17" customFormat="1" ht="16.5" customHeight="1" x14ac:dyDescent="0.2">
      <c r="A961" s="182">
        <v>48019</v>
      </c>
      <c r="B961" s="638" t="s">
        <v>71</v>
      </c>
      <c r="C961" s="639"/>
      <c r="D961" s="185">
        <v>0</v>
      </c>
      <c r="E961" s="185">
        <f>0+0+0</f>
        <v>0</v>
      </c>
      <c r="F961" s="185">
        <v>0</v>
      </c>
      <c r="G961" s="170" t="e">
        <f t="shared" si="42"/>
        <v>#DIV/0!</v>
      </c>
      <c r="H961" s="170" t="e">
        <f t="shared" si="43"/>
        <v>#DIV/0!</v>
      </c>
      <c r="I961" s="52">
        <f>F961/F979</f>
        <v>0</v>
      </c>
    </row>
    <row r="962" spans="1:9" s="17" customFormat="1" ht="16.5" customHeight="1" x14ac:dyDescent="0.2">
      <c r="A962" s="182">
        <v>650</v>
      </c>
      <c r="B962" s="638" t="s">
        <v>31</v>
      </c>
      <c r="C962" s="639"/>
      <c r="D962" s="199">
        <f>D963+D964</f>
        <v>0</v>
      </c>
      <c r="E962" s="199">
        <f>E963+E964</f>
        <v>0</v>
      </c>
      <c r="F962" s="199">
        <f>F963+F964</f>
        <v>0</v>
      </c>
      <c r="G962" s="170" t="e">
        <f t="shared" si="42"/>
        <v>#DIV/0!</v>
      </c>
      <c r="H962" s="170" t="e">
        <f t="shared" si="43"/>
        <v>#DIV/0!</v>
      </c>
      <c r="I962" s="52">
        <f>F962/F979</f>
        <v>0</v>
      </c>
    </row>
    <row r="963" spans="1:9" s="17" customFormat="1" ht="16.5" customHeight="1" x14ac:dyDescent="0.2">
      <c r="A963" s="250">
        <v>65095</v>
      </c>
      <c r="B963" s="648" t="s">
        <v>173</v>
      </c>
      <c r="C963" s="649"/>
      <c r="D963" s="6">
        <v>0</v>
      </c>
      <c r="E963" s="6">
        <f>0+0+0</f>
        <v>0</v>
      </c>
      <c r="F963" s="6">
        <v>0</v>
      </c>
      <c r="G963" s="165" t="e">
        <f t="shared" si="42"/>
        <v>#DIV/0!</v>
      </c>
      <c r="H963" s="165" t="e">
        <f t="shared" si="43"/>
        <v>#DIV/0!</v>
      </c>
      <c r="I963" s="81" t="e">
        <f>F963/F962</f>
        <v>#DIV/0!</v>
      </c>
    </row>
    <row r="964" spans="1:9" s="17" customFormat="1" ht="16.5" customHeight="1" x14ac:dyDescent="0.2">
      <c r="A964" s="250">
        <v>65495</v>
      </c>
      <c r="B964" s="648" t="s">
        <v>174</v>
      </c>
      <c r="C964" s="649"/>
      <c r="D964" s="6">
        <v>0</v>
      </c>
      <c r="E964" s="6">
        <f>0+0+0</f>
        <v>0</v>
      </c>
      <c r="F964" s="6">
        <v>0</v>
      </c>
      <c r="G964" s="165" t="e">
        <f t="shared" si="42"/>
        <v>#DIV/0!</v>
      </c>
      <c r="H964" s="165" t="e">
        <f t="shared" si="43"/>
        <v>#DIV/0!</v>
      </c>
      <c r="I964" s="81" t="e">
        <f>F964/F962</f>
        <v>#DIV/0!</v>
      </c>
    </row>
    <row r="965" spans="1:9" s="17" customFormat="1" ht="16.5" customHeight="1" x14ac:dyDescent="0.2">
      <c r="A965" s="182">
        <v>66100</v>
      </c>
      <c r="B965" s="638" t="s">
        <v>73</v>
      </c>
      <c r="C965" s="639"/>
      <c r="D965" s="185">
        <v>0</v>
      </c>
      <c r="E965" s="185">
        <f>0+0+0</f>
        <v>0</v>
      </c>
      <c r="F965" s="185">
        <v>0</v>
      </c>
      <c r="G965" s="170" t="e">
        <f t="shared" si="42"/>
        <v>#DIV/0!</v>
      </c>
      <c r="H965" s="170" t="e">
        <f t="shared" si="43"/>
        <v>#DIV/0!</v>
      </c>
      <c r="I965" s="52">
        <f>F965/F979</f>
        <v>0</v>
      </c>
    </row>
    <row r="966" spans="1:9" s="17" customFormat="1" ht="16.5" customHeight="1" x14ac:dyDescent="0.2">
      <c r="A966" s="182"/>
      <c r="B966" s="638" t="s">
        <v>74</v>
      </c>
      <c r="C966" s="639"/>
      <c r="D966" s="414">
        <f>D967+D968</f>
        <v>157983.53</v>
      </c>
      <c r="E966" s="414">
        <f>E967+E968</f>
        <v>171000</v>
      </c>
      <c r="F966" s="414">
        <f>F967+F968</f>
        <v>170783.74</v>
      </c>
      <c r="G966" s="170">
        <f t="shared" si="42"/>
        <v>1.0810224331612288</v>
      </c>
      <c r="H966" s="170">
        <f t="shared" si="43"/>
        <v>0.99873532163742684</v>
      </c>
      <c r="I966" s="140">
        <f>F966/F979</f>
        <v>0.17656172601507797</v>
      </c>
    </row>
    <row r="967" spans="1:9" s="17" customFormat="1" ht="16.5" customHeight="1" x14ac:dyDescent="0.2">
      <c r="A967" s="250">
        <v>73028</v>
      </c>
      <c r="B967" s="648" t="s">
        <v>175</v>
      </c>
      <c r="C967" s="649"/>
      <c r="D967" s="6">
        <f>0</f>
        <v>0</v>
      </c>
      <c r="E967" s="6">
        <f>0+0+0</f>
        <v>0</v>
      </c>
      <c r="F967" s="6">
        <v>0</v>
      </c>
      <c r="G967" s="165" t="e">
        <f>F967/D967</f>
        <v>#DIV/0!</v>
      </c>
      <c r="H967" s="165" t="e">
        <f>F967/E967</f>
        <v>#DIV/0!</v>
      </c>
      <c r="I967" s="81">
        <f>F967/F966</f>
        <v>0</v>
      </c>
    </row>
    <row r="968" spans="1:9" s="17" customFormat="1" ht="16.5" customHeight="1" x14ac:dyDescent="0.2">
      <c r="A968" s="250">
        <v>74100</v>
      </c>
      <c r="B968" s="648" t="s">
        <v>176</v>
      </c>
      <c r="C968" s="649"/>
      <c r="D968" s="6">
        <v>157983.53</v>
      </c>
      <c r="E968" s="180">
        <v>171000</v>
      </c>
      <c r="F968" s="6">
        <v>170783.74</v>
      </c>
      <c r="G968" s="165">
        <f t="shared" si="42"/>
        <v>1.0810224331612288</v>
      </c>
      <c r="H968" s="165">
        <f t="shared" si="43"/>
        <v>0.99873532163742684</v>
      </c>
      <c r="I968" s="81">
        <f>F968/F966</f>
        <v>1</v>
      </c>
    </row>
    <row r="969" spans="1:9" s="17" customFormat="1" ht="16.5" customHeight="1" x14ac:dyDescent="0.2">
      <c r="A969" s="416">
        <v>75591</v>
      </c>
      <c r="B969" s="638" t="s">
        <v>177</v>
      </c>
      <c r="C969" s="639"/>
      <c r="D969" s="185">
        <v>17470.86</v>
      </c>
      <c r="E969" s="185">
        <v>24600</v>
      </c>
      <c r="F969" s="185">
        <v>24540.71</v>
      </c>
      <c r="G969" s="170">
        <f t="shared" si="42"/>
        <v>1.4046652540287083</v>
      </c>
      <c r="H969" s="170">
        <f t="shared" si="43"/>
        <v>0.99758983739837392</v>
      </c>
      <c r="I969" s="52">
        <f>F969/F979</f>
        <v>2.5370975686769034E-2</v>
      </c>
    </row>
    <row r="970" spans="1:9" s="17" customFormat="1" ht="16.5" customHeight="1" x14ac:dyDescent="0.2">
      <c r="A970" s="581">
        <v>75592</v>
      </c>
      <c r="B970" s="565" t="s">
        <v>596</v>
      </c>
      <c r="C970" s="566"/>
      <c r="D970" s="414">
        <v>0</v>
      </c>
      <c r="E970" s="414">
        <v>5000</v>
      </c>
      <c r="F970" s="185">
        <v>5000</v>
      </c>
      <c r="G970" s="170" t="e">
        <f t="shared" si="42"/>
        <v>#DIV/0!</v>
      </c>
      <c r="H970" s="170">
        <f t="shared" si="43"/>
        <v>1</v>
      </c>
      <c r="I970" s="52">
        <f>F970/F979</f>
        <v>5.1691608936271678E-3</v>
      </c>
    </row>
    <row r="971" spans="1:9" s="17" customFormat="1" ht="16.5" customHeight="1" x14ac:dyDescent="0.2">
      <c r="A971" s="182">
        <v>85019</v>
      </c>
      <c r="B971" s="638" t="s">
        <v>40</v>
      </c>
      <c r="C971" s="639"/>
      <c r="D971" s="185">
        <f>D972+D973</f>
        <v>69462.7</v>
      </c>
      <c r="E971" s="185">
        <f t="shared" ref="E971" si="45">E972+E973</f>
        <v>82000</v>
      </c>
      <c r="F971" s="185">
        <f>F972+F973</f>
        <v>81999.600000000006</v>
      </c>
      <c r="G971" s="170">
        <f t="shared" si="42"/>
        <v>1.1804839143885857</v>
      </c>
      <c r="H971" s="170">
        <f t="shared" si="43"/>
        <v>0.99999512195121953</v>
      </c>
      <c r="I971" s="52">
        <f>F971/F979</f>
        <v>8.4773825122614069E-2</v>
      </c>
    </row>
    <row r="972" spans="1:9" s="17" customFormat="1" ht="16.5" customHeight="1" x14ac:dyDescent="0.2">
      <c r="A972" s="216"/>
      <c r="B972" s="389" t="s">
        <v>523</v>
      </c>
      <c r="C972" s="373"/>
      <c r="D972" s="6">
        <v>65993.73</v>
      </c>
      <c r="E972" s="180">
        <v>76500</v>
      </c>
      <c r="F972" s="6">
        <v>76499.600000000006</v>
      </c>
      <c r="G972" s="165">
        <f>F972/D972</f>
        <v>1.1591949720071892</v>
      </c>
      <c r="H972" s="165">
        <f>F972/E972</f>
        <v>0.99999477124183012</v>
      </c>
      <c r="I972" s="81">
        <f>F972/F971</f>
        <v>0.93292650208049799</v>
      </c>
    </row>
    <row r="973" spans="1:9" s="17" customFormat="1" ht="16.5" customHeight="1" x14ac:dyDescent="0.2">
      <c r="A973" s="216">
        <v>85184</v>
      </c>
      <c r="B973" s="648" t="s">
        <v>378</v>
      </c>
      <c r="C973" s="649"/>
      <c r="D973" s="6">
        <v>3468.97</v>
      </c>
      <c r="E973" s="180">
        <v>5500</v>
      </c>
      <c r="F973" s="6">
        <v>5500</v>
      </c>
      <c r="G973" s="165">
        <f>F973/D973</f>
        <v>1.585485028697279</v>
      </c>
      <c r="H973" s="165">
        <f>F973/E973</f>
        <v>1</v>
      </c>
      <c r="I973" s="81">
        <f>F973/F971</f>
        <v>6.707349791950204E-2</v>
      </c>
    </row>
    <row r="974" spans="1:9" s="17" customFormat="1" ht="16.5" customHeight="1" x14ac:dyDescent="0.2">
      <c r="A974" s="182"/>
      <c r="B974" s="638" t="s">
        <v>78</v>
      </c>
      <c r="C974" s="639"/>
      <c r="D974" s="185">
        <f>D975+D976+D977+D978</f>
        <v>179238.43</v>
      </c>
      <c r="E974" s="185">
        <f>E975+E976+E977+E978</f>
        <v>128000</v>
      </c>
      <c r="F974" s="185">
        <f>F975+F976+F977+F978</f>
        <v>127996.53</v>
      </c>
      <c r="G974" s="170">
        <f t="shared" si="42"/>
        <v>0.71411320663766142</v>
      </c>
      <c r="H974" s="170">
        <f t="shared" si="43"/>
        <v>0.99997289062499994</v>
      </c>
      <c r="I974" s="52">
        <f>F974/F979</f>
        <v>0.1323269314791953</v>
      </c>
    </row>
    <row r="975" spans="1:9" s="17" customFormat="1" ht="16.5" customHeight="1" x14ac:dyDescent="0.2">
      <c r="A975" s="250">
        <v>92095</v>
      </c>
      <c r="B975" s="648" t="s">
        <v>178</v>
      </c>
      <c r="C975" s="649"/>
      <c r="D975" s="6">
        <v>179238.43</v>
      </c>
      <c r="E975" s="6">
        <v>128000</v>
      </c>
      <c r="F975" s="6">
        <v>127996.53</v>
      </c>
      <c r="G975" s="165">
        <f t="shared" si="42"/>
        <v>0.71411320663766142</v>
      </c>
      <c r="H975" s="165">
        <f t="shared" si="43"/>
        <v>0.99997289062499994</v>
      </c>
      <c r="I975" s="81">
        <f>F975/F974</f>
        <v>1</v>
      </c>
    </row>
    <row r="976" spans="1:9" s="17" customFormat="1" ht="16.5" customHeight="1" x14ac:dyDescent="0.2">
      <c r="A976" s="250">
        <v>92570</v>
      </c>
      <c r="B976" s="648" t="s">
        <v>179</v>
      </c>
      <c r="C976" s="649"/>
      <c r="D976" s="6">
        <v>0</v>
      </c>
      <c r="E976" s="415">
        <f>0+0</f>
        <v>0</v>
      </c>
      <c r="F976" s="6">
        <v>0</v>
      </c>
      <c r="G976" s="165" t="e">
        <f t="shared" si="42"/>
        <v>#DIV/0!</v>
      </c>
      <c r="H976" s="165" t="e">
        <f t="shared" si="43"/>
        <v>#DIV/0!</v>
      </c>
      <c r="I976" s="81">
        <f>F976/F974</f>
        <v>0</v>
      </c>
    </row>
    <row r="977" spans="1:9" s="17" customFormat="1" ht="16.5" customHeight="1" x14ac:dyDescent="0.2">
      <c r="A977" s="250">
        <v>93540</v>
      </c>
      <c r="B977" s="648" t="s">
        <v>180</v>
      </c>
      <c r="C977" s="649"/>
      <c r="D977" s="6">
        <v>0</v>
      </c>
      <c r="E977" s="415">
        <f>0+0</f>
        <v>0</v>
      </c>
      <c r="F977" s="6">
        <v>0</v>
      </c>
      <c r="G977" s="165" t="e">
        <f t="shared" si="42"/>
        <v>#DIV/0!</v>
      </c>
      <c r="H977" s="165" t="e">
        <f t="shared" si="43"/>
        <v>#DIV/0!</v>
      </c>
      <c r="I977" s="81">
        <f>F977/F974</f>
        <v>0</v>
      </c>
    </row>
    <row r="978" spans="1:9" s="17" customFormat="1" ht="16.5" customHeight="1" x14ac:dyDescent="0.2">
      <c r="A978" s="250">
        <v>94740</v>
      </c>
      <c r="B978" s="648" t="s">
        <v>181</v>
      </c>
      <c r="C978" s="649"/>
      <c r="D978" s="6">
        <v>0</v>
      </c>
      <c r="E978" s="415">
        <f>0+0</f>
        <v>0</v>
      </c>
      <c r="F978" s="6">
        <v>0</v>
      </c>
      <c r="G978" s="165" t="e">
        <f t="shared" si="42"/>
        <v>#DIV/0!</v>
      </c>
      <c r="H978" s="165" t="e">
        <f t="shared" si="43"/>
        <v>#DIV/0!</v>
      </c>
      <c r="I978" s="81">
        <f>F978/F974</f>
        <v>0</v>
      </c>
    </row>
    <row r="979" spans="1:9" s="17" customFormat="1" ht="16.5" customHeight="1" x14ac:dyDescent="0.2">
      <c r="A979" s="182"/>
      <c r="B979" s="183" t="s">
        <v>83</v>
      </c>
      <c r="C979" s="184"/>
      <c r="D979" s="470">
        <f>D947+D948+D952+D953+D954+D955+D956+D959+D960+D961+D962+D964+D965+D966+D969+D971+D974</f>
        <v>909564.24</v>
      </c>
      <c r="E979" s="470">
        <f>E947+E948+E952+E953+E954+E955+E956+E959+E960+E961+E962+E964+E965+E966+E969+E970+E971+E974</f>
        <v>968653.17999999993</v>
      </c>
      <c r="F979" s="470">
        <f>F947+F948+F952+F953+F954+F955+F956+F959+F960+F961+F962+F965+F966+F969+F970+F971+F974</f>
        <v>967274.97999999986</v>
      </c>
      <c r="G979" s="170">
        <f t="shared" si="42"/>
        <v>1.0634487785051883</v>
      </c>
      <c r="H979" s="170">
        <f t="shared" si="43"/>
        <v>0.99857719973623571</v>
      </c>
      <c r="I979" s="52">
        <f>I947+I948+I952+I953+I954+I955+I956+I959+I960+I961+I962+I965+I966+I969+I970+I971+I974</f>
        <v>1.0000000000000002</v>
      </c>
    </row>
    <row r="980" spans="1:9" s="17" customFormat="1" ht="16.5" customHeight="1" x14ac:dyDescent="0.2">
      <c r="A980" s="255"/>
      <c r="B980" s="225"/>
      <c r="C980" s="225"/>
      <c r="D980" s="256"/>
      <c r="E980" s="256"/>
      <c r="F980" s="256"/>
      <c r="G980" s="222"/>
      <c r="H980" s="223"/>
      <c r="I980" s="223"/>
    </row>
    <row r="981" spans="1:9" s="17" customFormat="1" ht="16.5" customHeight="1" x14ac:dyDescent="0.2">
      <c r="A981" s="145"/>
      <c r="B981" s="621" t="s">
        <v>280</v>
      </c>
      <c r="C981" s="621"/>
      <c r="D981" s="621"/>
      <c r="E981" s="621"/>
      <c r="F981" s="621"/>
      <c r="G981" s="621"/>
      <c r="H981" s="621"/>
      <c r="I981" s="621"/>
    </row>
    <row r="982" spans="1:9" s="17" customFormat="1" ht="16.5" customHeight="1" x14ac:dyDescent="0.2">
      <c r="A982" s="145"/>
      <c r="B982" s="621" t="s">
        <v>685</v>
      </c>
      <c r="C982" s="621"/>
      <c r="D982" s="621"/>
      <c r="E982" s="621"/>
      <c r="F982" s="621"/>
      <c r="G982" s="621"/>
      <c r="H982" s="621"/>
      <c r="I982" s="621"/>
    </row>
    <row r="983" spans="1:9" s="17" customFormat="1" ht="16.5" customHeight="1" x14ac:dyDescent="0.2">
      <c r="A983" s="145"/>
      <c r="B983" s="145" t="s">
        <v>1014</v>
      </c>
      <c r="C983" s="145"/>
      <c r="D983" s="145"/>
      <c r="E983" s="145"/>
      <c r="F983" s="145"/>
      <c r="G983" s="145"/>
      <c r="H983" s="145"/>
      <c r="I983" s="145"/>
    </row>
    <row r="984" spans="1:9" s="17" customFormat="1" ht="16.5" customHeight="1" x14ac:dyDescent="0.2">
      <c r="A984" s="145"/>
      <c r="B984" s="621" t="s">
        <v>1013</v>
      </c>
      <c r="C984" s="621"/>
      <c r="D984" s="621"/>
      <c r="E984" s="621"/>
      <c r="F984" s="621"/>
      <c r="G984" s="621"/>
      <c r="H984" s="621"/>
      <c r="I984" s="621"/>
    </row>
    <row r="985" spans="1:9" s="17" customFormat="1" ht="16.5" customHeight="1" x14ac:dyDescent="0.2">
      <c r="A985" s="145"/>
      <c r="B985" s="145" t="s">
        <v>1012</v>
      </c>
      <c r="C985" s="145"/>
      <c r="D985" s="145"/>
      <c r="E985" s="145"/>
      <c r="F985" s="145"/>
      <c r="G985" s="145"/>
      <c r="H985" s="257"/>
      <c r="I985" s="15"/>
    </row>
    <row r="986" spans="1:9" s="17" customFormat="1" ht="16.5" customHeight="1" x14ac:dyDescent="0.2">
      <c r="A986" s="145"/>
      <c r="B986" s="145"/>
      <c r="C986" s="145"/>
      <c r="D986" s="145"/>
      <c r="E986" s="145"/>
      <c r="F986" s="145"/>
      <c r="G986" s="145"/>
      <c r="H986" s="257"/>
      <c r="I986" s="15"/>
    </row>
    <row r="987" spans="1:9" s="17" customFormat="1" ht="16.5" customHeight="1" x14ac:dyDescent="0.2">
      <c r="A987" s="145"/>
      <c r="B987" s="145"/>
      <c r="C987" s="145"/>
      <c r="D987" s="145"/>
      <c r="E987" s="145"/>
      <c r="F987" s="145"/>
      <c r="G987" s="145"/>
      <c r="H987" s="257"/>
      <c r="I987" s="15"/>
    </row>
    <row r="988" spans="1:9" s="17" customFormat="1" ht="16.5" customHeight="1" x14ac:dyDescent="0.2">
      <c r="A988" s="145"/>
      <c r="B988" s="145"/>
      <c r="C988" s="145"/>
      <c r="D988" s="145"/>
      <c r="E988" s="145"/>
      <c r="F988" s="145"/>
      <c r="G988" s="145"/>
      <c r="H988" s="257"/>
      <c r="I988" s="15"/>
    </row>
    <row r="989" spans="1:9" s="17" customFormat="1" ht="16.5" customHeight="1" x14ac:dyDescent="0.2">
      <c r="A989" s="145"/>
      <c r="B989" s="145"/>
      <c r="C989" s="145"/>
      <c r="D989" s="145"/>
      <c r="E989" s="145"/>
      <c r="F989" s="145"/>
      <c r="G989" s="145"/>
      <c r="H989" s="257"/>
      <c r="I989" s="15"/>
    </row>
    <row r="990" spans="1:9" s="17" customFormat="1" ht="16.5" customHeight="1" x14ac:dyDescent="0.2">
      <c r="A990" s="145"/>
      <c r="B990" s="145"/>
      <c r="C990" s="145"/>
      <c r="D990" s="145"/>
      <c r="E990" s="145"/>
      <c r="F990" s="145"/>
      <c r="G990" s="145"/>
      <c r="H990" s="257"/>
      <c r="I990" s="224"/>
    </row>
    <row r="991" spans="1:9" s="17" customFormat="1" ht="16.5" customHeight="1" x14ac:dyDescent="0.2">
      <c r="A991" s="145"/>
      <c r="B991" s="145"/>
      <c r="C991" s="145"/>
      <c r="D991" s="145"/>
      <c r="E991" s="145"/>
      <c r="F991" s="145"/>
      <c r="G991" s="145"/>
      <c r="H991" s="257"/>
      <c r="I991" s="224"/>
    </row>
    <row r="992" spans="1:9" s="17" customFormat="1" ht="16.5" customHeight="1" x14ac:dyDescent="0.2">
      <c r="A992" s="145"/>
      <c r="B992" s="145"/>
      <c r="C992" s="145"/>
      <c r="D992" s="145"/>
      <c r="E992" s="145"/>
      <c r="F992" s="145"/>
      <c r="G992" s="145"/>
      <c r="H992" s="257"/>
      <c r="I992" s="224"/>
    </row>
    <row r="993" spans="1:9" s="17" customFormat="1" ht="16.5" customHeight="1" x14ac:dyDescent="0.2">
      <c r="A993" s="145"/>
      <c r="B993" s="145"/>
      <c r="C993" s="145"/>
      <c r="D993" s="145"/>
      <c r="E993" s="145"/>
      <c r="F993" s="145"/>
      <c r="G993" s="145"/>
      <c r="H993" s="257"/>
      <c r="I993" s="224"/>
    </row>
    <row r="994" spans="1:9" s="17" customFormat="1" ht="16.5" customHeight="1" x14ac:dyDescent="0.2">
      <c r="A994" s="145"/>
      <c r="B994" s="145"/>
      <c r="C994" s="145"/>
      <c r="D994" s="145"/>
      <c r="E994" s="145"/>
      <c r="F994" s="145"/>
      <c r="G994" s="145"/>
      <c r="H994" s="257"/>
      <c r="I994" s="257">
        <v>17</v>
      </c>
    </row>
    <row r="995" spans="1:9" s="17" customFormat="1" ht="16.5" customHeight="1" x14ac:dyDescent="0.2">
      <c r="A995" s="145"/>
      <c r="B995" s="145"/>
      <c r="C995" s="145"/>
      <c r="D995" s="145"/>
      <c r="E995" s="145"/>
      <c r="F995" s="145"/>
      <c r="G995" s="145"/>
      <c r="H995" s="257"/>
      <c r="I995" s="224"/>
    </row>
    <row r="996" spans="1:9" s="17" customFormat="1" ht="16.5" customHeight="1" x14ac:dyDescent="0.2">
      <c r="A996" s="156"/>
      <c r="B996" s="737" t="s">
        <v>281</v>
      </c>
      <c r="C996" s="737"/>
      <c r="D996" s="737"/>
      <c r="E996" s="191"/>
      <c r="F996" s="156"/>
      <c r="G996" s="156"/>
      <c r="H996" s="20"/>
      <c r="I996" s="251"/>
    </row>
    <row r="997" spans="1:9" s="17" customFormat="1" ht="16.5" customHeight="1" x14ac:dyDescent="0.2">
      <c r="A997" s="156"/>
      <c r="B997" s="252"/>
      <c r="C997" s="252"/>
      <c r="D997" s="252"/>
      <c r="E997" s="191"/>
      <c r="F997" s="156"/>
      <c r="G997" s="156"/>
      <c r="H997" s="20"/>
      <c r="I997" s="251"/>
    </row>
    <row r="998" spans="1:9" s="17" customFormat="1" ht="16.5" customHeight="1" x14ac:dyDescent="0.2">
      <c r="A998" s="156" t="s">
        <v>686</v>
      </c>
      <c r="B998" s="156"/>
      <c r="C998" s="156"/>
      <c r="D998" s="156"/>
      <c r="E998" s="156"/>
      <c r="F998" s="156"/>
      <c r="G998" s="156"/>
      <c r="H998" s="156"/>
      <c r="I998" s="156"/>
    </row>
    <row r="999" spans="1:9" s="17" customFormat="1" ht="16.5" customHeight="1" x14ac:dyDescent="0.2">
      <c r="A999" s="621" t="s">
        <v>687</v>
      </c>
      <c r="B999" s="621"/>
      <c r="C999" s="621"/>
      <c r="D999" s="621"/>
      <c r="E999" s="621"/>
      <c r="F999" s="621"/>
      <c r="G999" s="621"/>
      <c r="H999" s="621"/>
      <c r="I999" s="621"/>
    </row>
    <row r="1000" spans="1:9" s="17" customFormat="1" ht="16.5" customHeight="1" x14ac:dyDescent="0.2">
      <c r="A1000" s="145"/>
      <c r="B1000" s="145" t="s">
        <v>688</v>
      </c>
      <c r="C1000" s="145"/>
      <c r="D1000" s="145"/>
      <c r="E1000" s="145"/>
      <c r="F1000" s="145"/>
      <c r="G1000" s="145"/>
      <c r="H1000" s="145"/>
      <c r="I1000" s="145"/>
    </row>
    <row r="1001" spans="1:9" s="17" customFormat="1" ht="16.5" customHeight="1" x14ac:dyDescent="0.2">
      <c r="A1001" s="145"/>
      <c r="B1001" s="145"/>
      <c r="C1001" s="145"/>
      <c r="D1001" s="145"/>
      <c r="E1001" s="605" t="s">
        <v>84</v>
      </c>
      <c r="F1001" s="145"/>
      <c r="G1001" s="145"/>
      <c r="H1001" s="145"/>
      <c r="I1001" s="145"/>
    </row>
    <row r="1002" spans="1:9" s="17" customFormat="1" ht="16.5" customHeight="1" x14ac:dyDescent="0.2">
      <c r="A1002" s="224"/>
      <c r="B1002" s="247"/>
      <c r="C1002" s="15"/>
      <c r="D1002" s="156"/>
      <c r="E1002" s="605"/>
      <c r="F1002" s="156"/>
      <c r="G1002" s="224"/>
      <c r="H1002" s="156"/>
      <c r="I1002" s="156"/>
    </row>
    <row r="1003" spans="1:9" s="17" customFormat="1" ht="16.5" customHeight="1" x14ac:dyDescent="0.2">
      <c r="A1003" s="613" t="s">
        <v>150</v>
      </c>
      <c r="B1003" s="615" t="s">
        <v>151</v>
      </c>
      <c r="C1003" s="616"/>
      <c r="D1003" s="411" t="s">
        <v>85</v>
      </c>
      <c r="E1003" s="409" t="s">
        <v>152</v>
      </c>
      <c r="F1003" s="42" t="s">
        <v>86</v>
      </c>
      <c r="G1003" s="619" t="s">
        <v>52</v>
      </c>
      <c r="H1003" s="620"/>
      <c r="I1003" s="613" t="s">
        <v>53</v>
      </c>
    </row>
    <row r="1004" spans="1:9" s="17" customFormat="1" ht="12" customHeight="1" x14ac:dyDescent="0.2">
      <c r="A1004" s="614"/>
      <c r="B1004" s="617"/>
      <c r="C1004" s="618"/>
      <c r="D1004" s="412" t="s">
        <v>537</v>
      </c>
      <c r="E1004" s="44" t="s">
        <v>571</v>
      </c>
      <c r="F1004" s="44" t="s">
        <v>571</v>
      </c>
      <c r="G1004" s="29" t="s">
        <v>55</v>
      </c>
      <c r="H1004" s="29" t="s">
        <v>56</v>
      </c>
      <c r="I1004" s="614"/>
    </row>
    <row r="1005" spans="1:9" s="17" customFormat="1" ht="12" customHeight="1" x14ac:dyDescent="0.2">
      <c r="A1005" s="149">
        <v>1</v>
      </c>
      <c r="B1005" s="717">
        <v>2</v>
      </c>
      <c r="C1005" s="718"/>
      <c r="D1005" s="147">
        <v>3</v>
      </c>
      <c r="E1005" s="147">
        <v>4</v>
      </c>
      <c r="F1005" s="147">
        <v>5</v>
      </c>
      <c r="G1005" s="147">
        <v>6</v>
      </c>
      <c r="H1005" s="147">
        <v>7</v>
      </c>
      <c r="I1005" s="164">
        <v>8</v>
      </c>
    </row>
    <row r="1006" spans="1:9" s="17" customFormat="1" ht="16.5" customHeight="1" x14ac:dyDescent="0.2">
      <c r="A1006" s="86">
        <v>10</v>
      </c>
      <c r="B1006" s="601" t="s">
        <v>199</v>
      </c>
      <c r="C1006" s="602"/>
      <c r="D1006" s="218">
        <v>0</v>
      </c>
      <c r="E1006" s="6">
        <f>0+0</f>
        <v>0</v>
      </c>
      <c r="F1006" s="218">
        <v>0</v>
      </c>
      <c r="G1006" s="91" t="e">
        <f t="shared" ref="G1006:G1011" si="46">F1006/D1006</f>
        <v>#DIV/0!</v>
      </c>
      <c r="H1006" s="91" t="e">
        <f t="shared" ref="H1006:H1011" si="47">F1006/E1006</f>
        <v>#DIV/0!</v>
      </c>
      <c r="I1006" s="92">
        <f>F1006/E1011</f>
        <v>0</v>
      </c>
    </row>
    <row r="1007" spans="1:9" s="17" customFormat="1" ht="16.5" customHeight="1" x14ac:dyDescent="0.2">
      <c r="A1007" s="86">
        <v>21</v>
      </c>
      <c r="B1007" s="601" t="s">
        <v>109</v>
      </c>
      <c r="C1007" s="602"/>
      <c r="D1007" s="218">
        <f>294945+119575.91+40000+59989.2+216343.17+68500</f>
        <v>799353.28</v>
      </c>
      <c r="E1007" s="6">
        <f>290000+200000+100000+60000+80000+310000+40000</f>
        <v>1080000</v>
      </c>
      <c r="F1007" s="218">
        <f>286741.7+199813.38+99492.14+60000+79836.61+309941.13+39645.82</f>
        <v>1075470.78</v>
      </c>
      <c r="G1007" s="91">
        <f t="shared" si="46"/>
        <v>1.3454261174733655</v>
      </c>
      <c r="H1007" s="91">
        <f t="shared" si="47"/>
        <v>0.99580627777777775</v>
      </c>
      <c r="I1007" s="92">
        <f>F1007/F1011</f>
        <v>0.96378749040286227</v>
      </c>
    </row>
    <row r="1008" spans="1:9" s="17" customFormat="1" ht="16.5" customHeight="1" x14ac:dyDescent="0.2">
      <c r="A1008" s="86">
        <v>22</v>
      </c>
      <c r="B1008" s="601" t="s">
        <v>200</v>
      </c>
      <c r="C1008" s="602"/>
      <c r="D1008" s="218">
        <f>85761</f>
        <v>85761</v>
      </c>
      <c r="E1008" s="6">
        <f>144.11+5009.51+10.8+156.83</f>
        <v>5321.25</v>
      </c>
      <c r="F1008" s="218">
        <v>0</v>
      </c>
      <c r="G1008" s="91">
        <f t="shared" si="46"/>
        <v>0</v>
      </c>
      <c r="H1008" s="91">
        <f t="shared" si="47"/>
        <v>0</v>
      </c>
      <c r="I1008" s="92">
        <f>F1008/F1011</f>
        <v>0</v>
      </c>
    </row>
    <row r="1009" spans="1:9" s="17" customFormat="1" ht="16.5" customHeight="1" x14ac:dyDescent="0.2">
      <c r="A1009" s="86">
        <v>31</v>
      </c>
      <c r="B1009" s="601" t="s">
        <v>201</v>
      </c>
      <c r="C1009" s="602"/>
      <c r="D1009" s="218">
        <f>73212.2</f>
        <v>73212.2</v>
      </c>
      <c r="E1009" s="6">
        <v>40408.800000000003</v>
      </c>
      <c r="F1009" s="218">
        <f>40408.8</f>
        <v>40408.800000000003</v>
      </c>
      <c r="G1009" s="91">
        <f t="shared" si="46"/>
        <v>0.55194079675245389</v>
      </c>
      <c r="H1009" s="91">
        <f t="shared" si="47"/>
        <v>1</v>
      </c>
      <c r="I1009" s="92">
        <f>F1009/E1011</f>
        <v>3.5752183560222521E-2</v>
      </c>
    </row>
    <row r="1010" spans="1:9" s="17" customFormat="1" ht="16.5" customHeight="1" x14ac:dyDescent="0.2">
      <c r="A1010" s="86" t="s">
        <v>597</v>
      </c>
      <c r="B1010" s="601" t="s">
        <v>110</v>
      </c>
      <c r="C1010" s="602"/>
      <c r="D1010" s="218">
        <v>0</v>
      </c>
      <c r="E1010" s="6">
        <f>4517</f>
        <v>4517</v>
      </c>
      <c r="F1010" s="218">
        <v>0</v>
      </c>
      <c r="G1010" s="91" t="e">
        <f t="shared" si="46"/>
        <v>#DIV/0!</v>
      </c>
      <c r="H1010" s="91">
        <f t="shared" si="47"/>
        <v>0</v>
      </c>
      <c r="I1010" s="92">
        <f>F1010/F1011</f>
        <v>0</v>
      </c>
    </row>
    <row r="1011" spans="1:9" s="17" customFormat="1" ht="16.5" customHeight="1" x14ac:dyDescent="0.2">
      <c r="A1011" s="253"/>
      <c r="B1011" s="625" t="s">
        <v>192</v>
      </c>
      <c r="C1011" s="626"/>
      <c r="D1011" s="417">
        <f>D1006+D1007+D1008+D1009+D1010</f>
        <v>958326.48</v>
      </c>
      <c r="E1011" s="417">
        <f>E1006+E1007+E1008+E1009+E1010</f>
        <v>1130247.05</v>
      </c>
      <c r="F1011" s="417">
        <f>F1006+F1007+F1008+F1009+F1010</f>
        <v>1115879.58</v>
      </c>
      <c r="G1011" s="170">
        <f t="shared" si="46"/>
        <v>1.1644044104885842</v>
      </c>
      <c r="H1011" s="170">
        <f t="shared" si="47"/>
        <v>0.9872882039373605</v>
      </c>
      <c r="I1011" s="52">
        <f>I1006+I1007+I1008+I1009+I1010</f>
        <v>0.99953967396308474</v>
      </c>
    </row>
    <row r="1012" spans="1:9" s="17" customFormat="1" ht="16.5" customHeight="1" x14ac:dyDescent="0.2">
      <c r="A1012" s="258"/>
      <c r="B1012" s="259"/>
      <c r="C1012" s="187"/>
      <c r="D1012" s="187"/>
      <c r="E1012" s="187"/>
      <c r="F1012" s="188"/>
      <c r="G1012" s="188"/>
      <c r="H1012" s="189"/>
      <c r="I1012" s="15"/>
    </row>
    <row r="1013" spans="1:9" s="17" customFormat="1" ht="16.5" customHeight="1" x14ac:dyDescent="0.2">
      <c r="A1013" s="621" t="s">
        <v>1016</v>
      </c>
      <c r="B1013" s="621"/>
      <c r="C1013" s="621"/>
      <c r="D1013" s="621"/>
      <c r="E1013" s="621"/>
      <c r="F1013" s="621"/>
      <c r="G1013" s="621"/>
      <c r="H1013" s="621"/>
      <c r="I1013" s="621"/>
    </row>
    <row r="1014" spans="1:9" s="17" customFormat="1" ht="16.5" customHeight="1" x14ac:dyDescent="0.2">
      <c r="A1014" s="145"/>
      <c r="B1014" s="145"/>
      <c r="C1014" s="145"/>
      <c r="D1014" s="145"/>
      <c r="E1014" s="145"/>
      <c r="F1014" s="145"/>
      <c r="G1014" s="145"/>
      <c r="H1014" s="145"/>
      <c r="I1014" s="145"/>
    </row>
    <row r="1015" spans="1:9" s="17" customFormat="1" ht="16.5" customHeight="1" x14ac:dyDescent="0.2">
      <c r="A1015" s="145"/>
      <c r="B1015" s="145" t="s">
        <v>1017</v>
      </c>
      <c r="C1015" s="145"/>
      <c r="D1015" s="145"/>
      <c r="E1015" s="145"/>
      <c r="F1015" s="145"/>
      <c r="G1015" s="145"/>
      <c r="H1015" s="145"/>
      <c r="I1015" s="145"/>
    </row>
    <row r="1016" spans="1:9" s="17" customFormat="1" ht="16.5" customHeight="1" x14ac:dyDescent="0.2">
      <c r="A1016" s="145"/>
      <c r="B1016" s="145"/>
      <c r="C1016" s="145"/>
      <c r="D1016" s="145"/>
      <c r="E1016" s="605" t="s">
        <v>84</v>
      </c>
      <c r="F1016" s="145"/>
      <c r="G1016" s="145"/>
      <c r="H1016" s="145"/>
      <c r="I1016" s="145"/>
    </row>
    <row r="1017" spans="1:9" s="17" customFormat="1" ht="17.25" customHeight="1" x14ac:dyDescent="0.2">
      <c r="A1017" s="224"/>
      <c r="B1017" s="247"/>
      <c r="C1017" s="15"/>
      <c r="D1017" s="156"/>
      <c r="E1017" s="605"/>
      <c r="F1017" s="156"/>
      <c r="G1017" s="224"/>
      <c r="H1017" s="156"/>
      <c r="I1017" s="156"/>
    </row>
    <row r="1018" spans="1:9" s="17" customFormat="1" ht="16.5" customHeight="1" x14ac:dyDescent="0.2">
      <c r="A1018" s="192" t="s">
        <v>48</v>
      </c>
      <c r="B1018" s="615" t="s">
        <v>151</v>
      </c>
      <c r="C1018" s="616"/>
      <c r="D1018" s="411" t="s">
        <v>85</v>
      </c>
      <c r="E1018" s="409" t="s">
        <v>152</v>
      </c>
      <c r="F1018" s="42" t="s">
        <v>86</v>
      </c>
      <c r="G1018" s="619" t="s">
        <v>52</v>
      </c>
      <c r="H1018" s="620"/>
      <c r="I1018" s="613" t="s">
        <v>53</v>
      </c>
    </row>
    <row r="1019" spans="1:9" s="17" customFormat="1" ht="12" customHeight="1" x14ac:dyDescent="0.2">
      <c r="A1019" s="193" t="s">
        <v>87</v>
      </c>
      <c r="B1019" s="617"/>
      <c r="C1019" s="618"/>
      <c r="D1019" s="412" t="s">
        <v>537</v>
      </c>
      <c r="E1019" s="44" t="s">
        <v>571</v>
      </c>
      <c r="F1019" s="44" t="s">
        <v>571</v>
      </c>
      <c r="G1019" s="29" t="s">
        <v>55</v>
      </c>
      <c r="H1019" s="29" t="s">
        <v>56</v>
      </c>
      <c r="I1019" s="614"/>
    </row>
    <row r="1020" spans="1:9" s="17" customFormat="1" ht="12" customHeight="1" x14ac:dyDescent="0.2">
      <c r="A1020" s="149">
        <v>1</v>
      </c>
      <c r="B1020" s="717">
        <v>2</v>
      </c>
      <c r="C1020" s="718"/>
      <c r="D1020" s="147">
        <v>3</v>
      </c>
      <c r="E1020" s="147">
        <v>4</v>
      </c>
      <c r="F1020" s="147">
        <v>5</v>
      </c>
      <c r="G1020" s="147">
        <v>6</v>
      </c>
      <c r="H1020" s="147">
        <v>7</v>
      </c>
      <c r="I1020" s="164">
        <v>8</v>
      </c>
    </row>
    <row r="1021" spans="1:9" s="17" customFormat="1" ht="16.5" customHeight="1" x14ac:dyDescent="0.2">
      <c r="A1021" s="86">
        <v>21110</v>
      </c>
      <c r="B1021" s="708" t="s">
        <v>443</v>
      </c>
      <c r="C1021" s="709"/>
      <c r="D1021" s="218">
        <v>0</v>
      </c>
      <c r="E1021" s="497">
        <v>0</v>
      </c>
      <c r="F1021" s="218">
        <v>0</v>
      </c>
      <c r="G1021" s="92" t="e">
        <f t="shared" ref="G1021:G1031" si="48">F1021/D1021</f>
        <v>#DIV/0!</v>
      </c>
      <c r="H1021" s="92" t="e">
        <f t="shared" ref="H1021:H1031" si="49">F1021/E1021</f>
        <v>#DIV/0!</v>
      </c>
      <c r="I1021" s="92">
        <f>F1021/F1035</f>
        <v>0</v>
      </c>
    </row>
    <row r="1022" spans="1:9" s="17" customFormat="1" ht="16.5" customHeight="1" x14ac:dyDescent="0.2">
      <c r="A1022" s="162">
        <v>21120</v>
      </c>
      <c r="B1022" s="708" t="s">
        <v>444</v>
      </c>
      <c r="C1022" s="709"/>
      <c r="D1022" s="218">
        <v>0</v>
      </c>
      <c r="E1022" s="497">
        <v>40000</v>
      </c>
      <c r="F1022" s="218">
        <v>0</v>
      </c>
      <c r="G1022" s="92" t="e">
        <f t="shared" si="48"/>
        <v>#DIV/0!</v>
      </c>
      <c r="H1022" s="92">
        <f t="shared" si="49"/>
        <v>0</v>
      </c>
      <c r="I1022" s="92">
        <f>F1022/F1035</f>
        <v>0</v>
      </c>
    </row>
    <row r="1023" spans="1:9" s="17" customFormat="1" ht="16.5" customHeight="1" x14ac:dyDescent="0.2">
      <c r="A1023" s="162">
        <v>21200</v>
      </c>
      <c r="B1023" s="708" t="s">
        <v>445</v>
      </c>
      <c r="C1023" s="709"/>
      <c r="D1023" s="218">
        <v>572025.11</v>
      </c>
      <c r="E1023" s="497">
        <v>470000</v>
      </c>
      <c r="F1023" s="218">
        <v>680150.83</v>
      </c>
      <c r="G1023" s="92">
        <f t="shared" si="48"/>
        <v>1.1890226811896421</v>
      </c>
      <c r="H1023" s="92">
        <f t="shared" si="49"/>
        <v>1.4471294255319147</v>
      </c>
      <c r="I1023" s="92">
        <f>F1023/F1035</f>
        <v>0.60951991791085547</v>
      </c>
    </row>
    <row r="1024" spans="1:9" s="17" customFormat="1" ht="16.5" customHeight="1" x14ac:dyDescent="0.2">
      <c r="A1024" s="162">
        <v>21310</v>
      </c>
      <c r="B1024" s="134" t="s">
        <v>598</v>
      </c>
      <c r="C1024" s="135"/>
      <c r="D1024" s="218">
        <v>0</v>
      </c>
      <c r="E1024" s="497">
        <v>30000</v>
      </c>
      <c r="F1024" s="218">
        <v>0</v>
      </c>
      <c r="G1024" s="92" t="e">
        <f t="shared" si="48"/>
        <v>#DIV/0!</v>
      </c>
      <c r="H1024" s="92">
        <f t="shared" si="49"/>
        <v>0</v>
      </c>
      <c r="I1024" s="92">
        <f>F1024/F1035</f>
        <v>0</v>
      </c>
    </row>
    <row r="1025" spans="1:15" s="17" customFormat="1" ht="16.5" customHeight="1" x14ac:dyDescent="0.2">
      <c r="A1025" s="162">
        <v>22100</v>
      </c>
      <c r="B1025" s="708" t="s">
        <v>282</v>
      </c>
      <c r="C1025" s="709"/>
      <c r="D1025" s="218">
        <v>0</v>
      </c>
      <c r="E1025" s="497">
        <v>0</v>
      </c>
      <c r="F1025" s="218">
        <v>0</v>
      </c>
      <c r="G1025" s="92" t="e">
        <f t="shared" si="48"/>
        <v>#DIV/0!</v>
      </c>
      <c r="H1025" s="92" t="e">
        <f t="shared" si="49"/>
        <v>#DIV/0!</v>
      </c>
      <c r="I1025" s="92">
        <f>F1025/F1035</f>
        <v>0</v>
      </c>
    </row>
    <row r="1026" spans="1:15" s="17" customFormat="1" ht="16.5" customHeight="1" x14ac:dyDescent="0.2">
      <c r="A1026" s="162">
        <v>22115</v>
      </c>
      <c r="B1026" s="134" t="s">
        <v>599</v>
      </c>
      <c r="C1026" s="135"/>
      <c r="D1026" s="218">
        <v>0</v>
      </c>
      <c r="E1026" s="497">
        <v>110000</v>
      </c>
      <c r="F1026" s="218">
        <v>14270</v>
      </c>
      <c r="G1026" s="92" t="e">
        <f t="shared" si="48"/>
        <v>#DIV/0!</v>
      </c>
      <c r="H1026" s="92">
        <f t="shared" si="49"/>
        <v>0.12972727272727272</v>
      </c>
      <c r="I1026" s="92">
        <f>F1026/F1035</f>
        <v>1.278811823046354E-2</v>
      </c>
    </row>
    <row r="1027" spans="1:15" s="17" customFormat="1" ht="16.5" customHeight="1" x14ac:dyDescent="0.2">
      <c r="A1027" s="86">
        <v>22200</v>
      </c>
      <c r="B1027" s="708" t="s">
        <v>283</v>
      </c>
      <c r="C1027" s="709"/>
      <c r="D1027" s="218">
        <v>379258.2</v>
      </c>
      <c r="E1027" s="497">
        <v>360000</v>
      </c>
      <c r="F1027" s="218">
        <v>323249.2</v>
      </c>
      <c r="G1027" s="92">
        <f t="shared" si="48"/>
        <v>0.85231960706452758</v>
      </c>
      <c r="H1027" s="92">
        <f t="shared" si="49"/>
        <v>0.89791444444444446</v>
      </c>
      <c r="I1027" s="92">
        <f>F1027/F1035</f>
        <v>0.28968107831133533</v>
      </c>
    </row>
    <row r="1028" spans="1:15" s="17" customFormat="1" ht="16.5" customHeight="1" x14ac:dyDescent="0.2">
      <c r="A1028" s="114">
        <v>22220</v>
      </c>
      <c r="B1028" s="708" t="s">
        <v>284</v>
      </c>
      <c r="C1028" s="709"/>
      <c r="D1028" s="218">
        <v>0</v>
      </c>
      <c r="E1028" s="6">
        <f>0+0</f>
        <v>0</v>
      </c>
      <c r="F1028" s="218">
        <v>0</v>
      </c>
      <c r="G1028" s="92" t="e">
        <f t="shared" si="48"/>
        <v>#DIV/0!</v>
      </c>
      <c r="H1028" s="92" t="e">
        <f t="shared" si="49"/>
        <v>#DIV/0!</v>
      </c>
      <c r="I1028" s="92">
        <f>F1028/F1035</f>
        <v>0</v>
      </c>
    </row>
    <row r="1029" spans="1:15" s="17" customFormat="1" ht="16.5" customHeight="1" x14ac:dyDescent="0.2">
      <c r="A1029" s="114">
        <v>22300</v>
      </c>
      <c r="B1029" s="708" t="s">
        <v>279</v>
      </c>
      <c r="C1029" s="709"/>
      <c r="D1029" s="218">
        <v>7043.17</v>
      </c>
      <c r="E1029" s="6">
        <f>0+0</f>
        <v>0</v>
      </c>
      <c r="F1029" s="218">
        <v>98209.55</v>
      </c>
      <c r="G1029" s="92">
        <f t="shared" si="48"/>
        <v>13.943941435461589</v>
      </c>
      <c r="H1029" s="92" t="e">
        <f t="shared" si="49"/>
        <v>#DIV/0!</v>
      </c>
      <c r="I1029" s="92">
        <f>F1029/F1035</f>
        <v>8.8010885547345527E-2</v>
      </c>
    </row>
    <row r="1030" spans="1:15" s="17" customFormat="1" ht="16.5" customHeight="1" x14ac:dyDescent="0.2">
      <c r="A1030" s="114">
        <v>23210</v>
      </c>
      <c r="B1030" s="134" t="s">
        <v>600</v>
      </c>
      <c r="C1030" s="135"/>
      <c r="D1030" s="218">
        <v>0</v>
      </c>
      <c r="E1030" s="6">
        <v>70000</v>
      </c>
      <c r="F1030" s="218">
        <v>0</v>
      </c>
      <c r="G1030" s="92" t="e">
        <f t="shared" si="48"/>
        <v>#DIV/0!</v>
      </c>
      <c r="H1030" s="92">
        <f t="shared" si="49"/>
        <v>0</v>
      </c>
      <c r="I1030" s="92">
        <f>F1030/F1035</f>
        <v>0</v>
      </c>
    </row>
    <row r="1031" spans="1:15" s="17" customFormat="1" ht="16.5" customHeight="1" x14ac:dyDescent="0.25">
      <c r="A1031" s="114"/>
      <c r="B1031" s="694" t="s">
        <v>273</v>
      </c>
      <c r="C1031" s="695"/>
      <c r="D1031" s="218"/>
      <c r="E1031" s="107">
        <f>144.11+5009.51+10.8+156.83</f>
        <v>5321.25</v>
      </c>
      <c r="F1031" s="218"/>
      <c r="G1031" s="92" t="e">
        <f t="shared" si="48"/>
        <v>#DIV/0!</v>
      </c>
      <c r="H1031" s="92">
        <f t="shared" si="49"/>
        <v>0</v>
      </c>
      <c r="I1031" s="92">
        <f>F1031/F1035</f>
        <v>0</v>
      </c>
      <c r="K1031"/>
      <c r="L1031"/>
      <c r="M1031"/>
      <c r="N1031"/>
    </row>
    <row r="1032" spans="1:15" s="17" customFormat="1" ht="16.5" customHeight="1" x14ac:dyDescent="0.25">
      <c r="A1032" s="114"/>
      <c r="B1032" s="738" t="s">
        <v>442</v>
      </c>
      <c r="C1032" s="739"/>
      <c r="D1032" s="405"/>
      <c r="E1032" s="107">
        <v>0</v>
      </c>
      <c r="F1032" s="405"/>
      <c r="G1032" s="92" t="e">
        <f>F1032/D1032</f>
        <v>#DIV/0!</v>
      </c>
      <c r="H1032" s="92" t="e">
        <f>F1032/E1032</f>
        <v>#DIV/0!</v>
      </c>
      <c r="I1032" s="92">
        <f>F1032/F1035</f>
        <v>0</v>
      </c>
      <c r="K1032"/>
      <c r="L1032"/>
      <c r="M1032"/>
      <c r="N1032"/>
    </row>
    <row r="1033" spans="1:15" s="17" customFormat="1" ht="16.5" customHeight="1" x14ac:dyDescent="0.25">
      <c r="A1033" s="114"/>
      <c r="B1033" s="548" t="s">
        <v>544</v>
      </c>
      <c r="C1033" s="549"/>
      <c r="D1033" s="405"/>
      <c r="E1033" s="107">
        <f>E1009</f>
        <v>40408.800000000003</v>
      </c>
      <c r="F1033" s="405"/>
      <c r="G1033" s="92" t="e">
        <f>F1033/D1033</f>
        <v>#DIV/0!</v>
      </c>
      <c r="H1033" s="92">
        <f>F1033/E1033</f>
        <v>0</v>
      </c>
      <c r="I1033" s="92">
        <f>E1033/E1035</f>
        <v>3.5752183560222521E-2</v>
      </c>
      <c r="K1033"/>
      <c r="L1033"/>
      <c r="M1033"/>
      <c r="N1033"/>
    </row>
    <row r="1034" spans="1:15" s="17" customFormat="1" ht="16.5" customHeight="1" x14ac:dyDescent="0.25">
      <c r="A1034" s="114"/>
      <c r="B1034" s="548" t="s">
        <v>553</v>
      </c>
      <c r="C1034" s="549"/>
      <c r="D1034" s="405"/>
      <c r="E1034" s="560">
        <v>4517</v>
      </c>
      <c r="F1034" s="405"/>
      <c r="G1034" s="92" t="e">
        <f>F1034/D1034</f>
        <v>#DIV/0!</v>
      </c>
      <c r="H1034" s="92">
        <f>F1034/E1034</f>
        <v>0</v>
      </c>
      <c r="I1034" s="92">
        <f>E1034/E1035</f>
        <v>3.9964713909228962E-3</v>
      </c>
      <c r="K1034"/>
      <c r="L1034"/>
      <c r="M1034"/>
      <c r="N1034"/>
    </row>
    <row r="1035" spans="1:15" s="17" customFormat="1" ht="16.5" customHeight="1" x14ac:dyDescent="0.25">
      <c r="A1035" s="98"/>
      <c r="B1035" s="638" t="s">
        <v>83</v>
      </c>
      <c r="C1035" s="639"/>
      <c r="D1035" s="595">
        <f>D1021+D1022+D1023+D1025+D1027+D1028+D1029+D1031+D1032</f>
        <v>958326.4800000001</v>
      </c>
      <c r="E1035" s="595">
        <f>E1021+E1022+E1023+E1024+E1025+E1026+E1027+E1028+E1029+E1030+E1031+E1032+E1033+E1034</f>
        <v>1130247.05</v>
      </c>
      <c r="F1035" s="595">
        <f>F1021+F1022+F1023+F1024+F1025+F1026+F1027+F1028+F1029+F1030</f>
        <v>1115879.58</v>
      </c>
      <c r="G1035" s="155">
        <f>F1035/D1035</f>
        <v>1.1644044104885842</v>
      </c>
      <c r="H1035" s="155">
        <f>F1035/E1035</f>
        <v>0.9872882039373605</v>
      </c>
      <c r="I1035" s="155">
        <f>I1021+I1022+I1023+I1024+I1025+I1026+I1027+I1028+I1029+I1030</f>
        <v>0.99999999999999989</v>
      </c>
      <c r="K1035"/>
      <c r="L1035"/>
      <c r="M1035"/>
      <c r="N1035"/>
    </row>
    <row r="1036" spans="1:15" s="17" customFormat="1" ht="16.5" customHeight="1" x14ac:dyDescent="0.2">
      <c r="A1036" s="156"/>
      <c r="B1036" s="156"/>
      <c r="C1036" s="156"/>
      <c r="D1036" s="156"/>
      <c r="E1036" s="156"/>
      <c r="F1036" s="156"/>
      <c r="G1036" s="156"/>
      <c r="H1036" s="156"/>
      <c r="I1036" s="141"/>
    </row>
    <row r="1037" spans="1:15" s="17" customFormat="1" ht="16.5" customHeight="1" x14ac:dyDescent="0.2">
      <c r="A1037" s="621" t="s">
        <v>689</v>
      </c>
      <c r="B1037" s="621"/>
      <c r="C1037" s="621"/>
      <c r="D1037" s="621"/>
      <c r="E1037" s="621"/>
      <c r="F1037" s="621"/>
      <c r="G1037" s="621"/>
      <c r="H1037" s="621"/>
      <c r="I1037" s="621"/>
    </row>
    <row r="1038" spans="1:15" s="17" customFormat="1" ht="16.5" customHeight="1" x14ac:dyDescent="0.2">
      <c r="A1038" s="621" t="s">
        <v>690</v>
      </c>
      <c r="B1038" s="621"/>
      <c r="C1038" s="621"/>
      <c r="D1038" s="621"/>
      <c r="E1038" s="621"/>
      <c r="F1038" s="621"/>
      <c r="G1038" s="621"/>
      <c r="H1038" s="621"/>
      <c r="I1038" s="621"/>
    </row>
    <row r="1039" spans="1:15" s="17" customFormat="1" ht="17.25" customHeight="1" x14ac:dyDescent="0.25">
      <c r="A1039" s="621" t="s">
        <v>691</v>
      </c>
      <c r="B1039" s="621"/>
      <c r="C1039" s="621"/>
      <c r="D1039" s="621"/>
      <c r="E1039" s="621"/>
      <c r="F1039" s="621"/>
      <c r="G1039" s="621"/>
      <c r="H1039" s="621"/>
      <c r="I1039" s="621"/>
      <c r="O1039"/>
    </row>
    <row r="1040" spans="1:15" s="17" customFormat="1" ht="16.5" customHeight="1" x14ac:dyDescent="0.25">
      <c r="A1040" s="621" t="s">
        <v>692</v>
      </c>
      <c r="B1040" s="621"/>
      <c r="C1040" s="621"/>
      <c r="D1040" s="621"/>
      <c r="E1040" s="621"/>
      <c r="F1040" s="621"/>
      <c r="G1040" s="621"/>
      <c r="H1040" s="621"/>
      <c r="I1040" s="621"/>
      <c r="O1040"/>
    </row>
    <row r="1041" spans="1:15" s="17" customFormat="1" ht="16.5" customHeight="1" x14ac:dyDescent="0.25">
      <c r="A1041" s="145"/>
      <c r="B1041" s="145" t="s">
        <v>693</v>
      </c>
      <c r="C1041" s="145"/>
      <c r="D1041" s="145"/>
      <c r="E1041" s="145"/>
      <c r="F1041" s="145"/>
      <c r="G1041" s="145"/>
      <c r="H1041" s="145"/>
      <c r="I1041" s="145"/>
      <c r="O1041"/>
    </row>
    <row r="1042" spans="1:15" s="17" customFormat="1" ht="16.5" customHeight="1" x14ac:dyDescent="0.25">
      <c r="A1042" s="145"/>
      <c r="B1042" s="145" t="s">
        <v>1018</v>
      </c>
      <c r="C1042" s="145"/>
      <c r="D1042" s="145"/>
      <c r="E1042" s="145"/>
      <c r="F1042" s="145"/>
      <c r="G1042" s="145"/>
      <c r="H1042" s="145"/>
      <c r="I1042" s="145"/>
      <c r="O1042"/>
    </row>
    <row r="1043" spans="1:15" s="17" customFormat="1" ht="16.5" customHeight="1" x14ac:dyDescent="0.25">
      <c r="N1043"/>
    </row>
    <row r="1044" spans="1:15" s="17" customFormat="1" ht="16.5" customHeight="1" x14ac:dyDescent="0.25">
      <c r="N1044"/>
    </row>
    <row r="1045" spans="1:15" s="17" customFormat="1" ht="16.5" customHeight="1" x14ac:dyDescent="0.25">
      <c r="A1045" s="145"/>
      <c r="B1045" s="145"/>
      <c r="C1045" s="145"/>
      <c r="D1045" s="145"/>
      <c r="E1045" s="145"/>
      <c r="F1045" s="145"/>
      <c r="G1045" s="145"/>
      <c r="H1045" s="145"/>
      <c r="I1045" s="145"/>
      <c r="N1045"/>
    </row>
    <row r="1046" spans="1:15" s="17" customFormat="1" ht="16.5" customHeight="1" x14ac:dyDescent="0.25">
      <c r="A1046" s="145"/>
      <c r="B1046" s="145"/>
      <c r="C1046" s="145"/>
      <c r="D1046" s="145"/>
      <c r="E1046" s="145"/>
      <c r="F1046" s="145"/>
      <c r="G1046" s="145"/>
      <c r="H1046" s="145"/>
      <c r="I1046" s="145"/>
      <c r="N1046"/>
    </row>
    <row r="1047" spans="1:15" s="17" customFormat="1" ht="16.5" customHeight="1" x14ac:dyDescent="0.25">
      <c r="A1047" s="145"/>
      <c r="B1047" s="145"/>
      <c r="C1047" s="145"/>
      <c r="D1047" s="145"/>
      <c r="E1047" s="145"/>
      <c r="F1047" s="145"/>
      <c r="G1047" s="145"/>
      <c r="H1047" s="145"/>
      <c r="I1047" s="145"/>
      <c r="N1047"/>
    </row>
    <row r="1048" spans="1:15" s="17" customFormat="1" ht="16.5" customHeight="1" x14ac:dyDescent="0.25">
      <c r="A1048" s="145"/>
      <c r="B1048" s="145"/>
      <c r="C1048" s="145"/>
      <c r="D1048" s="145"/>
      <c r="E1048" s="145"/>
      <c r="F1048" s="145"/>
      <c r="G1048" s="145"/>
      <c r="H1048" s="145"/>
      <c r="I1048" s="145"/>
      <c r="N1048"/>
    </row>
    <row r="1049" spans="1:15" s="17" customFormat="1" ht="16.5" customHeight="1" x14ac:dyDescent="0.25">
      <c r="A1049" s="145"/>
      <c r="B1049" s="145"/>
      <c r="C1049" s="145"/>
      <c r="D1049" s="145"/>
      <c r="E1049" s="145"/>
      <c r="F1049" s="145"/>
      <c r="G1049" s="145"/>
      <c r="H1049" s="145"/>
      <c r="I1049" s="145"/>
      <c r="N1049"/>
    </row>
    <row r="1050" spans="1:15" s="17" customFormat="1" ht="16.5" customHeight="1" x14ac:dyDescent="0.25">
      <c r="A1050" s="145"/>
      <c r="B1050" s="145"/>
      <c r="C1050" s="145"/>
      <c r="D1050" s="145"/>
      <c r="E1050" s="145"/>
      <c r="F1050" s="145"/>
      <c r="G1050" s="145"/>
      <c r="H1050" s="145"/>
      <c r="I1050" s="257">
        <v>18</v>
      </c>
      <c r="N1050"/>
    </row>
    <row r="1051" spans="1:15" s="17" customFormat="1" ht="16.5" customHeight="1" x14ac:dyDescent="0.25">
      <c r="A1051" s="145"/>
      <c r="B1051" s="145"/>
      <c r="C1051" s="145"/>
      <c r="D1051" s="145"/>
      <c r="E1051" s="145"/>
      <c r="F1051" s="145"/>
      <c r="G1051" s="145"/>
      <c r="H1051" s="145"/>
      <c r="I1051" s="257"/>
      <c r="N1051"/>
    </row>
    <row r="1052" spans="1:15" s="17" customFormat="1" ht="16.5" customHeight="1" x14ac:dyDescent="0.25">
      <c r="A1052" s="621" t="s">
        <v>415</v>
      </c>
      <c r="B1052" s="621"/>
      <c r="C1052" s="621"/>
      <c r="D1052" s="621"/>
      <c r="E1052" s="621"/>
      <c r="F1052" s="621"/>
      <c r="G1052" s="621"/>
      <c r="H1052" s="621"/>
      <c r="I1052" s="621"/>
      <c r="N1052"/>
    </row>
    <row r="1053" spans="1:15" s="17" customFormat="1" ht="16.5" customHeight="1" x14ac:dyDescent="0.25">
      <c r="A1053" s="621" t="s">
        <v>384</v>
      </c>
      <c r="B1053" s="621"/>
      <c r="C1053" s="621"/>
      <c r="D1053" s="621"/>
      <c r="E1053" s="621"/>
      <c r="F1053" s="621"/>
      <c r="G1053" s="621"/>
      <c r="H1053" s="621"/>
      <c r="I1053" s="621"/>
      <c r="N1053"/>
    </row>
    <row r="1054" spans="1:15" s="17" customFormat="1" ht="16.5" customHeight="1" x14ac:dyDescent="0.25">
      <c r="A1054" s="145"/>
      <c r="B1054" s="145"/>
      <c r="C1054" s="145"/>
      <c r="D1054" s="145"/>
      <c r="E1054" s="605" t="s">
        <v>84</v>
      </c>
      <c r="F1054" s="145"/>
      <c r="G1054" s="145"/>
      <c r="H1054" s="145"/>
      <c r="I1054" s="145"/>
      <c r="N1054"/>
    </row>
    <row r="1055" spans="1:15" s="17" customFormat="1" ht="16.5" customHeight="1" x14ac:dyDescent="0.25">
      <c r="A1055" s="224"/>
      <c r="B1055" s="247"/>
      <c r="C1055" s="15"/>
      <c r="D1055" s="156"/>
      <c r="E1055" s="605"/>
      <c r="F1055" s="156"/>
      <c r="G1055" s="224"/>
      <c r="H1055" s="156"/>
      <c r="I1055" s="156"/>
      <c r="N1055"/>
    </row>
    <row r="1056" spans="1:15" s="17" customFormat="1" ht="16.5" customHeight="1" x14ac:dyDescent="0.2">
      <c r="A1056" s="26" t="s">
        <v>48</v>
      </c>
      <c r="B1056" s="615" t="s">
        <v>49</v>
      </c>
      <c r="C1056" s="616"/>
      <c r="D1056" s="411" t="s">
        <v>85</v>
      </c>
      <c r="E1056" s="409" t="s">
        <v>152</v>
      </c>
      <c r="F1056" s="42" t="s">
        <v>86</v>
      </c>
      <c r="G1056" s="619" t="s">
        <v>52</v>
      </c>
      <c r="H1056" s="620"/>
      <c r="I1056" s="613" t="s">
        <v>53</v>
      </c>
    </row>
    <row r="1057" spans="1:9" s="17" customFormat="1" ht="14.25" customHeight="1" x14ac:dyDescent="0.2">
      <c r="A1057" s="27" t="s">
        <v>54</v>
      </c>
      <c r="B1057" s="617"/>
      <c r="C1057" s="618"/>
      <c r="D1057" s="412" t="s">
        <v>537</v>
      </c>
      <c r="E1057" s="44" t="s">
        <v>571</v>
      </c>
      <c r="F1057" s="44" t="s">
        <v>571</v>
      </c>
      <c r="G1057" s="29" t="s">
        <v>55</v>
      </c>
      <c r="H1057" s="29" t="s">
        <v>56</v>
      </c>
      <c r="I1057" s="614"/>
    </row>
    <row r="1058" spans="1:9" s="17" customFormat="1" ht="14.25" customHeight="1" x14ac:dyDescent="0.2">
      <c r="A1058" s="172">
        <v>1</v>
      </c>
      <c r="B1058" s="724">
        <v>2</v>
      </c>
      <c r="C1058" s="725"/>
      <c r="D1058" s="176">
        <v>3</v>
      </c>
      <c r="E1058" s="176">
        <v>4</v>
      </c>
      <c r="F1058" s="176">
        <v>5</v>
      </c>
      <c r="G1058" s="176">
        <v>6</v>
      </c>
      <c r="H1058" s="176">
        <v>7</v>
      </c>
      <c r="I1058" s="177">
        <v>8</v>
      </c>
    </row>
    <row r="1059" spans="1:9" s="17" customFormat="1" ht="16.5" customHeight="1" x14ac:dyDescent="0.2">
      <c r="A1059" s="182">
        <v>16019</v>
      </c>
      <c r="B1059" s="638" t="s">
        <v>57</v>
      </c>
      <c r="C1059" s="639"/>
      <c r="D1059" s="185">
        <v>294945</v>
      </c>
      <c r="E1059" s="477">
        <v>290144.11</v>
      </c>
      <c r="F1059" s="185">
        <v>286741.7</v>
      </c>
      <c r="G1059" s="170">
        <f t="shared" ref="G1059:G1091" si="50">F1059/D1059</f>
        <v>0.97218701791859508</v>
      </c>
      <c r="H1059" s="170">
        <f t="shared" ref="H1059:H1091" si="51">F1059/E1059</f>
        <v>0.98827337904601964</v>
      </c>
      <c r="I1059" s="155">
        <f>F1059/F1091</f>
        <v>0.25696473449222901</v>
      </c>
    </row>
    <row r="1060" spans="1:9" s="17" customFormat="1" ht="16.5" customHeight="1" x14ac:dyDescent="0.2">
      <c r="A1060" s="182">
        <v>163</v>
      </c>
      <c r="B1060" s="638" t="s">
        <v>17</v>
      </c>
      <c r="C1060" s="639"/>
      <c r="D1060" s="185">
        <f>D1061+D1062+D1063</f>
        <v>0</v>
      </c>
      <c r="E1060" s="185">
        <f t="shared" ref="E1060" si="52">E1061+E1062+E1063</f>
        <v>0</v>
      </c>
      <c r="F1060" s="185">
        <f>F1061+F1062+F1063</f>
        <v>0</v>
      </c>
      <c r="G1060" s="170" t="e">
        <f t="shared" si="50"/>
        <v>#DIV/0!</v>
      </c>
      <c r="H1060" s="170" t="e">
        <f t="shared" si="51"/>
        <v>#DIV/0!</v>
      </c>
      <c r="I1060" s="52">
        <f>F1060/F1091</f>
        <v>0</v>
      </c>
    </row>
    <row r="1061" spans="1:9" s="17" customFormat="1" ht="16.5" customHeight="1" x14ac:dyDescent="0.2">
      <c r="A1061" s="250">
        <v>16319</v>
      </c>
      <c r="B1061" s="648" t="s">
        <v>166</v>
      </c>
      <c r="C1061" s="649"/>
      <c r="D1061" s="6">
        <v>0</v>
      </c>
      <c r="E1061" s="6">
        <v>0</v>
      </c>
      <c r="F1061" s="6">
        <v>0</v>
      </c>
      <c r="G1061" s="165" t="e">
        <f t="shared" si="50"/>
        <v>#DIV/0!</v>
      </c>
      <c r="H1061" s="165" t="e">
        <f t="shared" si="51"/>
        <v>#DIV/0!</v>
      </c>
      <c r="I1061" s="81" t="e">
        <f>F1061/F1060</f>
        <v>#DIV/0!</v>
      </c>
    </row>
    <row r="1062" spans="1:9" s="17" customFormat="1" ht="16.5" customHeight="1" x14ac:dyDescent="0.2">
      <c r="A1062" s="250">
        <v>16519</v>
      </c>
      <c r="B1062" s="648" t="s">
        <v>167</v>
      </c>
      <c r="C1062" s="649"/>
      <c r="D1062" s="6">
        <v>0</v>
      </c>
      <c r="E1062" s="6">
        <v>0</v>
      </c>
      <c r="F1062" s="6">
        <v>0</v>
      </c>
      <c r="G1062" s="165" t="e">
        <f t="shared" si="50"/>
        <v>#DIV/0!</v>
      </c>
      <c r="H1062" s="165" t="e">
        <f t="shared" si="51"/>
        <v>#DIV/0!</v>
      </c>
      <c r="I1062" s="81" t="e">
        <f>F1062/F1060</f>
        <v>#DIV/0!</v>
      </c>
    </row>
    <row r="1063" spans="1:9" s="17" customFormat="1" ht="16.5" customHeight="1" x14ac:dyDescent="0.2">
      <c r="A1063" s="250">
        <v>16559</v>
      </c>
      <c r="B1063" s="648" t="s">
        <v>168</v>
      </c>
      <c r="C1063" s="649"/>
      <c r="D1063" s="6">
        <v>0</v>
      </c>
      <c r="E1063" s="6">
        <v>0</v>
      </c>
      <c r="F1063" s="6">
        <v>0</v>
      </c>
      <c r="G1063" s="165" t="e">
        <f t="shared" si="50"/>
        <v>#DIV/0!</v>
      </c>
      <c r="H1063" s="165" t="e">
        <f t="shared" si="51"/>
        <v>#DIV/0!</v>
      </c>
      <c r="I1063" s="81" t="e">
        <f>F1063/F1060</f>
        <v>#DIV/0!</v>
      </c>
    </row>
    <row r="1064" spans="1:9" s="17" customFormat="1" ht="16.5" customHeight="1" x14ac:dyDescent="0.2">
      <c r="A1064" s="182">
        <v>16637</v>
      </c>
      <c r="B1064" s="638" t="s">
        <v>63</v>
      </c>
      <c r="C1064" s="639"/>
      <c r="D1064" s="185">
        <v>0</v>
      </c>
      <c r="E1064" s="185">
        <v>0</v>
      </c>
      <c r="F1064" s="185">
        <v>0</v>
      </c>
      <c r="G1064" s="170" t="e">
        <f t="shared" si="50"/>
        <v>#DIV/0!</v>
      </c>
      <c r="H1064" s="170" t="e">
        <f t="shared" si="51"/>
        <v>#DIV/0!</v>
      </c>
      <c r="I1064" s="52">
        <f>F1064/F1091</f>
        <v>0</v>
      </c>
    </row>
    <row r="1065" spans="1:9" s="17" customFormat="1" ht="16.5" customHeight="1" x14ac:dyDescent="0.2">
      <c r="A1065" s="182">
        <v>16795</v>
      </c>
      <c r="B1065" s="638" t="s">
        <v>64</v>
      </c>
      <c r="C1065" s="639"/>
      <c r="D1065" s="185">
        <v>0</v>
      </c>
      <c r="E1065" s="185">
        <v>0</v>
      </c>
      <c r="F1065" s="185">
        <v>0</v>
      </c>
      <c r="G1065" s="170" t="e">
        <f>F1065/D1065</f>
        <v>#DIV/0!</v>
      </c>
      <c r="H1065" s="170" t="e">
        <f>F1065/E1065</f>
        <v>#DIV/0!</v>
      </c>
      <c r="I1065" s="52">
        <f>F1065/F1091</f>
        <v>0</v>
      </c>
    </row>
    <row r="1066" spans="1:9" s="17" customFormat="1" ht="16.5" customHeight="1" x14ac:dyDescent="0.2">
      <c r="A1066" s="182">
        <v>16919</v>
      </c>
      <c r="B1066" s="638" t="s">
        <v>65</v>
      </c>
      <c r="C1066" s="639"/>
      <c r="D1066" s="185">
        <v>0</v>
      </c>
      <c r="E1066" s="185">
        <v>0</v>
      </c>
      <c r="F1066" s="185">
        <v>0</v>
      </c>
      <c r="G1066" s="170" t="e">
        <f>F1066/D1066</f>
        <v>#DIV/0!</v>
      </c>
      <c r="H1066" s="170" t="e">
        <f>F1066/E1066</f>
        <v>#DIV/0!</v>
      </c>
      <c r="I1066" s="52">
        <f>F1066/F1091</f>
        <v>0</v>
      </c>
    </row>
    <row r="1067" spans="1:9" s="17" customFormat="1" ht="16.5" customHeight="1" x14ac:dyDescent="0.2">
      <c r="A1067" s="182">
        <v>17519</v>
      </c>
      <c r="B1067" s="638" t="s">
        <v>25</v>
      </c>
      <c r="C1067" s="639"/>
      <c r="D1067" s="185">
        <v>0</v>
      </c>
      <c r="E1067" s="185">
        <v>0</v>
      </c>
      <c r="F1067" s="185">
        <v>0</v>
      </c>
      <c r="G1067" s="170" t="e">
        <f t="shared" si="50"/>
        <v>#DIV/0!</v>
      </c>
      <c r="H1067" s="170" t="e">
        <f t="shared" si="51"/>
        <v>#DIV/0!</v>
      </c>
      <c r="I1067" s="52">
        <f>F1067/F1091</f>
        <v>0</v>
      </c>
    </row>
    <row r="1068" spans="1:9" s="17" customFormat="1" ht="16.5" customHeight="1" x14ac:dyDescent="0.2">
      <c r="A1068" s="182">
        <v>180</v>
      </c>
      <c r="B1068" s="638" t="s">
        <v>275</v>
      </c>
      <c r="C1068" s="639"/>
      <c r="D1068" s="185">
        <f>D1069+D1071</f>
        <v>0</v>
      </c>
      <c r="E1068" s="185">
        <f t="shared" ref="E1068:F1068" si="53">E1069+E1071</f>
        <v>0</v>
      </c>
      <c r="F1068" s="185">
        <f t="shared" si="53"/>
        <v>0</v>
      </c>
      <c r="G1068" s="170" t="e">
        <f t="shared" si="50"/>
        <v>#DIV/0!</v>
      </c>
      <c r="H1068" s="170" t="e">
        <f t="shared" si="51"/>
        <v>#DIV/0!</v>
      </c>
      <c r="I1068" s="52">
        <f>F1068/F1091</f>
        <v>0</v>
      </c>
    </row>
    <row r="1069" spans="1:9" s="17" customFormat="1" ht="16.5" customHeight="1" x14ac:dyDescent="0.2">
      <c r="A1069" s="246">
        <v>18019</v>
      </c>
      <c r="B1069" s="728" t="s">
        <v>170</v>
      </c>
      <c r="C1069" s="729"/>
      <c r="D1069" s="382">
        <v>0</v>
      </c>
      <c r="E1069" s="185">
        <v>0</v>
      </c>
      <c r="F1069" s="382">
        <v>0</v>
      </c>
      <c r="G1069" s="383" t="e">
        <f t="shared" si="50"/>
        <v>#DIV/0!</v>
      </c>
      <c r="H1069" s="383" t="e">
        <f t="shared" si="51"/>
        <v>#DIV/0!</v>
      </c>
      <c r="I1069" s="385" t="e">
        <f>F1069/F1069</f>
        <v>#DIV/0!</v>
      </c>
    </row>
    <row r="1070" spans="1:9" s="17" customFormat="1" ht="16.5" customHeight="1" x14ac:dyDescent="0.2">
      <c r="A1070" s="219"/>
      <c r="B1070" s="158"/>
      <c r="C1070" s="158"/>
      <c r="D1070" s="266"/>
      <c r="E1070" s="6"/>
      <c r="F1070" s="266"/>
      <c r="G1070" s="445"/>
      <c r="H1070" s="445"/>
      <c r="I1070" s="450"/>
    </row>
    <row r="1071" spans="1:9" s="17" customFormat="1" ht="16.5" customHeight="1" x14ac:dyDescent="0.2">
      <c r="A1071" s="246">
        <v>18295</v>
      </c>
      <c r="B1071" s="728" t="s">
        <v>171</v>
      </c>
      <c r="C1071" s="729"/>
      <c r="D1071" s="382">
        <v>0</v>
      </c>
      <c r="E1071" s="386">
        <v>0</v>
      </c>
      <c r="F1071" s="382">
        <v>0</v>
      </c>
      <c r="G1071" s="383" t="e">
        <f t="shared" si="50"/>
        <v>#DIV/0!</v>
      </c>
      <c r="H1071" s="383" t="e">
        <f t="shared" si="51"/>
        <v>#DIV/0!</v>
      </c>
      <c r="I1071" s="385" t="e">
        <f>F1071/F1071</f>
        <v>#DIV/0!</v>
      </c>
    </row>
    <row r="1072" spans="1:9" s="17" customFormat="1" ht="16.5" customHeight="1" x14ac:dyDescent="0.2">
      <c r="A1072" s="182">
        <v>19595</v>
      </c>
      <c r="B1072" s="638" t="s">
        <v>172</v>
      </c>
      <c r="C1072" s="639"/>
      <c r="D1072" s="185">
        <v>0</v>
      </c>
      <c r="E1072" s="185">
        <v>0</v>
      </c>
      <c r="F1072" s="185">
        <v>0</v>
      </c>
      <c r="G1072" s="170" t="e">
        <f t="shared" si="50"/>
        <v>#DIV/0!</v>
      </c>
      <c r="H1072" s="170" t="e">
        <f t="shared" si="51"/>
        <v>#DIV/0!</v>
      </c>
      <c r="I1072" s="52">
        <f>F1072/F1091</f>
        <v>0</v>
      </c>
    </row>
    <row r="1073" spans="1:9" s="17" customFormat="1" ht="16.5" customHeight="1" x14ac:dyDescent="0.2">
      <c r="A1073" s="182">
        <v>47019</v>
      </c>
      <c r="B1073" s="638" t="s">
        <v>70</v>
      </c>
      <c r="C1073" s="639"/>
      <c r="D1073" s="185">
        <v>278549.11</v>
      </c>
      <c r="E1073" s="185">
        <v>245418.31</v>
      </c>
      <c r="F1073" s="185">
        <v>240222.18</v>
      </c>
      <c r="G1073" s="170">
        <f t="shared" si="50"/>
        <v>0.8624051248988015</v>
      </c>
      <c r="H1073" s="170">
        <f t="shared" si="51"/>
        <v>0.97882745586504938</v>
      </c>
      <c r="I1073" s="52">
        <f>F1073/F1091</f>
        <v>0.21527607844566882</v>
      </c>
    </row>
    <row r="1074" spans="1:9" s="17" customFormat="1" ht="16.5" customHeight="1" x14ac:dyDescent="0.2">
      <c r="A1074" s="182">
        <v>48019</v>
      </c>
      <c r="B1074" s="638" t="s">
        <v>71</v>
      </c>
      <c r="C1074" s="639"/>
      <c r="D1074" s="185">
        <v>0</v>
      </c>
      <c r="E1074" s="185">
        <v>100000</v>
      </c>
      <c r="F1074" s="185">
        <v>99492.14</v>
      </c>
      <c r="G1074" s="170" t="e">
        <f t="shared" si="50"/>
        <v>#DIV/0!</v>
      </c>
      <c r="H1074" s="170">
        <f t="shared" si="51"/>
        <v>0.99492139999999996</v>
      </c>
      <c r="I1074" s="52">
        <f>F1074/F1091</f>
        <v>8.9160283764669293E-2</v>
      </c>
    </row>
    <row r="1075" spans="1:9" s="17" customFormat="1" ht="16.5" customHeight="1" x14ac:dyDescent="0.2">
      <c r="A1075" s="182">
        <v>650</v>
      </c>
      <c r="B1075" s="638" t="s">
        <v>31</v>
      </c>
      <c r="C1075" s="639"/>
      <c r="D1075" s="185">
        <v>0</v>
      </c>
      <c r="E1075" s="185">
        <v>0</v>
      </c>
      <c r="F1075" s="185">
        <v>0</v>
      </c>
      <c r="G1075" s="170" t="e">
        <f t="shared" si="50"/>
        <v>#DIV/0!</v>
      </c>
      <c r="H1075" s="170" t="e">
        <f t="shared" si="51"/>
        <v>#DIV/0!</v>
      </c>
      <c r="I1075" s="52">
        <f>F1075/F1091</f>
        <v>0</v>
      </c>
    </row>
    <row r="1076" spans="1:9" s="17" customFormat="1" ht="16.5" customHeight="1" x14ac:dyDescent="0.2">
      <c r="A1076" s="250">
        <v>65095</v>
      </c>
      <c r="B1076" s="648" t="s">
        <v>173</v>
      </c>
      <c r="C1076" s="649"/>
      <c r="D1076" s="6">
        <v>0</v>
      </c>
      <c r="E1076" s="6">
        <v>0</v>
      </c>
      <c r="F1076" s="6">
        <v>0</v>
      </c>
      <c r="G1076" s="165" t="e">
        <f t="shared" si="50"/>
        <v>#DIV/0!</v>
      </c>
      <c r="H1076" s="165" t="e">
        <f t="shared" si="51"/>
        <v>#DIV/0!</v>
      </c>
      <c r="I1076" s="81" t="e">
        <f>F1076/F1075</f>
        <v>#DIV/0!</v>
      </c>
    </row>
    <row r="1077" spans="1:9" s="17" customFormat="1" ht="16.5" customHeight="1" x14ac:dyDescent="0.2">
      <c r="A1077" s="250">
        <v>65495</v>
      </c>
      <c r="B1077" s="648" t="s">
        <v>174</v>
      </c>
      <c r="C1077" s="649"/>
      <c r="D1077" s="6">
        <v>0</v>
      </c>
      <c r="E1077" s="6">
        <v>0</v>
      </c>
      <c r="F1077" s="6">
        <v>0</v>
      </c>
      <c r="G1077" s="165" t="e">
        <f t="shared" si="50"/>
        <v>#DIV/0!</v>
      </c>
      <c r="H1077" s="165" t="e">
        <f t="shared" si="51"/>
        <v>#DIV/0!</v>
      </c>
      <c r="I1077" s="81" t="e">
        <f>F1077/F1075</f>
        <v>#DIV/0!</v>
      </c>
    </row>
    <row r="1078" spans="1:9" s="17" customFormat="1" ht="16.5" customHeight="1" x14ac:dyDescent="0.2">
      <c r="A1078" s="182">
        <v>66100</v>
      </c>
      <c r="B1078" s="638" t="s">
        <v>73</v>
      </c>
      <c r="C1078" s="639"/>
      <c r="D1078" s="185">
        <v>0</v>
      </c>
      <c r="E1078" s="185">
        <v>0</v>
      </c>
      <c r="F1078" s="185">
        <v>0</v>
      </c>
      <c r="G1078" s="170" t="e">
        <f t="shared" si="50"/>
        <v>#DIV/0!</v>
      </c>
      <c r="H1078" s="170" t="e">
        <f t="shared" si="51"/>
        <v>#DIV/0!</v>
      </c>
      <c r="I1078" s="52">
        <f>F1078/F1091</f>
        <v>0</v>
      </c>
    </row>
    <row r="1079" spans="1:9" s="17" customFormat="1" ht="16.5" customHeight="1" x14ac:dyDescent="0.2">
      <c r="A1079" s="182"/>
      <c r="B1079" s="638" t="s">
        <v>74</v>
      </c>
      <c r="C1079" s="639"/>
      <c r="D1079" s="414">
        <f>D1080+D1081</f>
        <v>40000</v>
      </c>
      <c r="E1079" s="185">
        <f>E1080+E1081</f>
        <v>60000</v>
      </c>
      <c r="F1079" s="414">
        <f>F1080+F1081</f>
        <v>60000</v>
      </c>
      <c r="G1079" s="170">
        <f t="shared" si="50"/>
        <v>1.5</v>
      </c>
      <c r="H1079" s="170">
        <f t="shared" si="51"/>
        <v>1</v>
      </c>
      <c r="I1079" s="52">
        <f>F1079/F1091</f>
        <v>5.3769242734955321E-2</v>
      </c>
    </row>
    <row r="1080" spans="1:9" s="17" customFormat="1" ht="16.5" customHeight="1" x14ac:dyDescent="0.2">
      <c r="A1080" s="250">
        <v>73028</v>
      </c>
      <c r="B1080" s="648" t="s">
        <v>175</v>
      </c>
      <c r="C1080" s="649"/>
      <c r="D1080" s="6">
        <v>40000</v>
      </c>
      <c r="E1080" s="180">
        <v>0</v>
      </c>
      <c r="F1080" s="6">
        <v>0</v>
      </c>
      <c r="G1080" s="165">
        <f t="shared" si="50"/>
        <v>0</v>
      </c>
      <c r="H1080" s="165" t="e">
        <f t="shared" si="51"/>
        <v>#DIV/0!</v>
      </c>
      <c r="I1080" s="81">
        <f>F1080/F1079</f>
        <v>0</v>
      </c>
    </row>
    <row r="1081" spans="1:9" s="17" customFormat="1" ht="16.5" customHeight="1" x14ac:dyDescent="0.2">
      <c r="A1081" s="250">
        <v>74100</v>
      </c>
      <c r="B1081" s="648" t="s">
        <v>176</v>
      </c>
      <c r="C1081" s="649"/>
      <c r="D1081" s="6">
        <v>0</v>
      </c>
      <c r="E1081" s="6">
        <v>60000</v>
      </c>
      <c r="F1081" s="6">
        <v>60000</v>
      </c>
      <c r="G1081" s="165" t="e">
        <f t="shared" si="50"/>
        <v>#DIV/0!</v>
      </c>
      <c r="H1081" s="165">
        <f t="shared" si="51"/>
        <v>1</v>
      </c>
      <c r="I1081" s="81">
        <f>F1081/F1079</f>
        <v>1</v>
      </c>
    </row>
    <row r="1082" spans="1:9" s="17" customFormat="1" ht="16.5" customHeight="1" x14ac:dyDescent="0.2">
      <c r="A1082" s="416">
        <v>75591</v>
      </c>
      <c r="B1082" s="638" t="s">
        <v>177</v>
      </c>
      <c r="C1082" s="639"/>
      <c r="D1082" s="185">
        <v>59989.2</v>
      </c>
      <c r="E1082" s="414">
        <v>80010.8</v>
      </c>
      <c r="F1082" s="185">
        <v>79836.61</v>
      </c>
      <c r="G1082" s="170">
        <f t="shared" si="50"/>
        <v>1.3308497196161977</v>
      </c>
      <c r="H1082" s="170">
        <f t="shared" si="51"/>
        <v>0.99782291890594765</v>
      </c>
      <c r="I1082" s="52">
        <f>F1082/F1091</f>
        <v>7.154590103709936E-2</v>
      </c>
    </row>
    <row r="1083" spans="1:9" s="17" customFormat="1" ht="16.5" customHeight="1" x14ac:dyDescent="0.2">
      <c r="A1083" s="182">
        <v>85019</v>
      </c>
      <c r="B1083" s="638" t="s">
        <v>40</v>
      </c>
      <c r="C1083" s="639"/>
      <c r="D1083" s="185">
        <f>D1084+D1085</f>
        <v>284843.17000000004</v>
      </c>
      <c r="E1083" s="185">
        <f>E1084+E1085</f>
        <v>354673.83</v>
      </c>
      <c r="F1083" s="185">
        <f>F1084+F1085</f>
        <v>349586.95</v>
      </c>
      <c r="G1083" s="170">
        <f t="shared" si="50"/>
        <v>1.2272962346262331</v>
      </c>
      <c r="H1083" s="170">
        <f t="shared" si="51"/>
        <v>0.98565758291216465</v>
      </c>
      <c r="I1083" s="52">
        <f>F1083/F1091</f>
        <v>0.31328375952537818</v>
      </c>
    </row>
    <row r="1084" spans="1:9" s="17" customFormat="1" ht="16.5" customHeight="1" x14ac:dyDescent="0.2">
      <c r="A1084" s="399"/>
      <c r="B1084" s="389" t="s">
        <v>523</v>
      </c>
      <c r="C1084" s="373"/>
      <c r="D1084" s="6">
        <v>216343.17</v>
      </c>
      <c r="E1084" s="6">
        <v>314673.83</v>
      </c>
      <c r="F1084" s="6">
        <v>309941.13</v>
      </c>
      <c r="G1084" s="165">
        <f>F1084/D1084</f>
        <v>1.4326365375897931</v>
      </c>
      <c r="H1084" s="165">
        <f>F1084/E1084</f>
        <v>0.98495998221396419</v>
      </c>
      <c r="I1084" s="81">
        <f>F1084/F1083</f>
        <v>0.88659239139218438</v>
      </c>
    </row>
    <row r="1085" spans="1:9" s="17" customFormat="1" ht="16.5" customHeight="1" x14ac:dyDescent="0.2">
      <c r="A1085" s="250">
        <v>85184</v>
      </c>
      <c r="B1085" s="448" t="s">
        <v>378</v>
      </c>
      <c r="C1085" s="373"/>
      <c r="D1085" s="6">
        <v>68500</v>
      </c>
      <c r="E1085" s="6">
        <v>40000</v>
      </c>
      <c r="F1085" s="6">
        <v>39645.82</v>
      </c>
      <c r="G1085" s="165">
        <f>F1085/D1085</f>
        <v>0.57877109489051093</v>
      </c>
      <c r="H1085" s="165">
        <f>F1085/E1085</f>
        <v>0.99114550000000001</v>
      </c>
      <c r="I1085" s="81">
        <f>F1085/F1083</f>
        <v>0.1134076086078156</v>
      </c>
    </row>
    <row r="1086" spans="1:9" s="17" customFormat="1" ht="16.5" customHeight="1" x14ac:dyDescent="0.2">
      <c r="A1086" s="182"/>
      <c r="B1086" s="638" t="s">
        <v>78</v>
      </c>
      <c r="C1086" s="639"/>
      <c r="D1086" s="185">
        <f>D1087+D1088+D1089+D1090</f>
        <v>0</v>
      </c>
      <c r="E1086" s="185">
        <f>E1087+E1088+E1089+E1090</f>
        <v>0</v>
      </c>
      <c r="F1086" s="185">
        <f>F1087+F1088+F1089+F1090</f>
        <v>0</v>
      </c>
      <c r="G1086" s="170" t="e">
        <f t="shared" si="50"/>
        <v>#DIV/0!</v>
      </c>
      <c r="H1086" s="170" t="e">
        <f t="shared" si="51"/>
        <v>#DIV/0!</v>
      </c>
      <c r="I1086" s="52">
        <f>F1086/F1091</f>
        <v>0</v>
      </c>
    </row>
    <row r="1087" spans="1:9" s="17" customFormat="1" ht="16.5" customHeight="1" x14ac:dyDescent="0.2">
      <c r="A1087" s="250">
        <v>92095</v>
      </c>
      <c r="B1087" s="648" t="s">
        <v>178</v>
      </c>
      <c r="C1087" s="649"/>
      <c r="D1087" s="6">
        <v>0</v>
      </c>
      <c r="E1087" s="6">
        <v>0</v>
      </c>
      <c r="F1087" s="6">
        <v>0</v>
      </c>
      <c r="G1087" s="165" t="e">
        <f t="shared" si="50"/>
        <v>#DIV/0!</v>
      </c>
      <c r="H1087" s="165" t="e">
        <f t="shared" si="51"/>
        <v>#DIV/0!</v>
      </c>
      <c r="I1087" s="81" t="e">
        <f>F1087/F1086</f>
        <v>#DIV/0!</v>
      </c>
    </row>
    <row r="1088" spans="1:9" s="17" customFormat="1" ht="16.5" customHeight="1" x14ac:dyDescent="0.2">
      <c r="A1088" s="250">
        <v>92570</v>
      </c>
      <c r="B1088" s="648" t="s">
        <v>179</v>
      </c>
      <c r="C1088" s="649"/>
      <c r="D1088" s="6">
        <v>0</v>
      </c>
      <c r="E1088" s="6">
        <v>0</v>
      </c>
      <c r="F1088" s="6">
        <v>0</v>
      </c>
      <c r="G1088" s="165" t="e">
        <f t="shared" si="50"/>
        <v>#DIV/0!</v>
      </c>
      <c r="H1088" s="165" t="e">
        <f t="shared" si="51"/>
        <v>#DIV/0!</v>
      </c>
      <c r="I1088" s="81" t="e">
        <f>F1088/F1086</f>
        <v>#DIV/0!</v>
      </c>
    </row>
    <row r="1089" spans="1:9" s="17" customFormat="1" ht="16.5" customHeight="1" x14ac:dyDescent="0.2">
      <c r="A1089" s="250">
        <v>93540</v>
      </c>
      <c r="B1089" s="648" t="s">
        <v>180</v>
      </c>
      <c r="C1089" s="649"/>
      <c r="D1089" s="6">
        <v>0</v>
      </c>
      <c r="E1089" s="6">
        <v>0</v>
      </c>
      <c r="F1089" s="6">
        <v>0</v>
      </c>
      <c r="G1089" s="165" t="e">
        <f t="shared" si="50"/>
        <v>#DIV/0!</v>
      </c>
      <c r="H1089" s="165" t="e">
        <f t="shared" si="51"/>
        <v>#DIV/0!</v>
      </c>
      <c r="I1089" s="81" t="e">
        <f>F1089/F1086</f>
        <v>#DIV/0!</v>
      </c>
    </row>
    <row r="1090" spans="1:9" s="17" customFormat="1" ht="16.5" customHeight="1" x14ac:dyDescent="0.2">
      <c r="A1090" s="250">
        <v>94740</v>
      </c>
      <c r="B1090" s="648" t="s">
        <v>181</v>
      </c>
      <c r="C1090" s="649"/>
      <c r="D1090" s="6">
        <v>0</v>
      </c>
      <c r="E1090" s="6">
        <v>0</v>
      </c>
      <c r="F1090" s="6">
        <v>0</v>
      </c>
      <c r="G1090" s="165" t="e">
        <f t="shared" si="50"/>
        <v>#DIV/0!</v>
      </c>
      <c r="H1090" s="165" t="e">
        <f t="shared" si="51"/>
        <v>#DIV/0!</v>
      </c>
      <c r="I1090" s="81" t="e">
        <f>F1090/F1086</f>
        <v>#DIV/0!</v>
      </c>
    </row>
    <row r="1091" spans="1:9" s="17" customFormat="1" ht="16.5" customHeight="1" x14ac:dyDescent="0.2">
      <c r="A1091" s="182"/>
      <c r="B1091" s="183" t="s">
        <v>83</v>
      </c>
      <c r="C1091" s="184"/>
      <c r="D1091" s="417">
        <f>D1059+D1060+D1064+D1065+D1066+D1067+D1068+D1072+D1073+D1074+D1075+D1078+D1079+D1082+D1083+D1086</f>
        <v>958326.48</v>
      </c>
      <c r="E1091" s="417">
        <f>E1059+E1060+E1064+E1065+E1066+E1067+E1068+E1071+E1072+E1073+E1074+E1075+E1077+E1078+E1079+E1082+E1083+E1086</f>
        <v>1130247.05</v>
      </c>
      <c r="F1091" s="417">
        <f>F1059+F1060+F1064+F1065+F1066+F1067+F1068+F1071+F1072+F1073+F1074+F1075+F1077+F1078+F1079+F1082+F1083+F1086</f>
        <v>1115879.58</v>
      </c>
      <c r="G1091" s="170">
        <f t="shared" si="50"/>
        <v>1.1644044104885842</v>
      </c>
      <c r="H1091" s="170">
        <f t="shared" si="51"/>
        <v>0.9872882039373605</v>
      </c>
      <c r="I1091" s="52">
        <f>I1059+I1060+I1064+I1065+I1066+I1067+I1068+I1072+I1073+I1074+I1075+I1078+I1079+I1082+I1083+I1086</f>
        <v>1</v>
      </c>
    </row>
    <row r="1092" spans="1:9" s="17" customFormat="1" ht="16.5" customHeight="1" x14ac:dyDescent="0.2">
      <c r="A1092" s="260"/>
      <c r="B1092" s="186"/>
      <c r="C1092" s="187"/>
      <c r="D1092" s="187"/>
      <c r="E1092" s="222"/>
      <c r="F1092" s="189"/>
      <c r="G1092" s="156"/>
      <c r="H1092" s="15"/>
      <c r="I1092" s="15"/>
    </row>
    <row r="1093" spans="1:9" s="17" customFormat="1" ht="16.5" customHeight="1" x14ac:dyDescent="0.2">
      <c r="A1093" s="15"/>
      <c r="B1093" s="706" t="s">
        <v>694</v>
      </c>
      <c r="C1093" s="706"/>
      <c r="D1093" s="706"/>
      <c r="E1093" s="706"/>
      <c r="F1093" s="706"/>
      <c r="G1093" s="706"/>
      <c r="H1093" s="706"/>
      <c r="I1093" s="706"/>
    </row>
    <row r="1094" spans="1:9" s="17" customFormat="1" ht="16.5" customHeight="1" x14ac:dyDescent="0.2">
      <c r="A1094" s="706" t="s">
        <v>695</v>
      </c>
      <c r="B1094" s="706"/>
      <c r="C1094" s="706"/>
      <c r="D1094" s="706"/>
      <c r="E1094" s="706"/>
      <c r="F1094" s="706"/>
      <c r="G1094" s="706"/>
      <c r="H1094" s="706"/>
      <c r="I1094" s="706"/>
    </row>
    <row r="1095" spans="1:9" s="17" customFormat="1" ht="16.5" customHeight="1" x14ac:dyDescent="0.2">
      <c r="A1095" s="142" t="s">
        <v>696</v>
      </c>
      <c r="B1095" s="142"/>
      <c r="C1095" s="142"/>
      <c r="D1095" s="142"/>
      <c r="E1095" s="142"/>
      <c r="F1095" s="142"/>
      <c r="G1095" s="142"/>
      <c r="H1095" s="142"/>
      <c r="I1095" s="142"/>
    </row>
    <row r="1096" spans="1:9" s="17" customFormat="1" ht="16.5" customHeight="1" x14ac:dyDescent="0.2">
      <c r="A1096" s="142"/>
      <c r="B1096" s="142"/>
      <c r="C1096" s="142"/>
      <c r="D1096" s="142"/>
      <c r="E1096" s="142"/>
      <c r="F1096" s="142"/>
      <c r="G1096" s="142"/>
      <c r="H1096" s="142"/>
      <c r="I1096" s="142"/>
    </row>
    <row r="1097" spans="1:9" s="17" customFormat="1" ht="16.5" customHeight="1" x14ac:dyDescent="0.2">
      <c r="A1097" s="142"/>
      <c r="B1097" s="142"/>
      <c r="C1097" s="142"/>
      <c r="D1097" s="142"/>
      <c r="E1097" s="142"/>
      <c r="F1097" s="142"/>
      <c r="G1097" s="142"/>
      <c r="H1097" s="142"/>
      <c r="I1097" s="142"/>
    </row>
    <row r="1098" spans="1:9" s="17" customFormat="1" ht="16.5" customHeight="1" x14ac:dyDescent="0.2">
      <c r="A1098" s="142"/>
      <c r="B1098" s="142"/>
      <c r="C1098" s="142"/>
      <c r="D1098" s="142"/>
      <c r="E1098" s="142"/>
      <c r="F1098" s="142"/>
      <c r="G1098" s="142"/>
      <c r="H1098" s="142"/>
      <c r="I1098" s="142"/>
    </row>
    <row r="1099" spans="1:9" s="17" customFormat="1" ht="16.5" customHeight="1" x14ac:dyDescent="0.2">
      <c r="A1099" s="142"/>
      <c r="B1099" s="142"/>
      <c r="C1099" s="142"/>
      <c r="D1099" s="142"/>
      <c r="E1099" s="142"/>
      <c r="F1099" s="142"/>
      <c r="G1099" s="142"/>
      <c r="H1099" s="142"/>
      <c r="I1099" s="142"/>
    </row>
    <row r="1100" spans="1:9" s="17" customFormat="1" ht="16.5" customHeight="1" x14ac:dyDescent="0.2">
      <c r="A1100" s="142"/>
      <c r="B1100" s="142"/>
      <c r="C1100" s="142"/>
      <c r="D1100" s="142"/>
      <c r="E1100" s="142"/>
      <c r="F1100" s="142"/>
      <c r="G1100" s="142"/>
      <c r="H1100" s="142"/>
      <c r="I1100" s="142"/>
    </row>
    <row r="1101" spans="1:9" s="17" customFormat="1" ht="16.5" customHeight="1" x14ac:dyDescent="0.2">
      <c r="A1101" s="142"/>
      <c r="B1101" s="142"/>
      <c r="C1101" s="142"/>
      <c r="D1101" s="142"/>
      <c r="E1101" s="142"/>
      <c r="F1101" s="142"/>
      <c r="G1101" s="142"/>
      <c r="H1101" s="142"/>
      <c r="I1101" s="142"/>
    </row>
    <row r="1102" spans="1:9" s="17" customFormat="1" ht="16.5" customHeight="1" x14ac:dyDescent="0.2">
      <c r="A1102" s="142"/>
      <c r="B1102" s="142"/>
      <c r="C1102" s="142"/>
      <c r="D1102" s="142"/>
      <c r="E1102" s="142"/>
      <c r="F1102" s="142"/>
      <c r="G1102" s="142"/>
      <c r="H1102" s="142"/>
      <c r="I1102" s="142"/>
    </row>
    <row r="1103" spans="1:9" s="17" customFormat="1" ht="16.5" customHeight="1" x14ac:dyDescent="0.2">
      <c r="A1103" s="142"/>
      <c r="B1103" s="142"/>
      <c r="C1103" s="142"/>
      <c r="D1103" s="142"/>
      <c r="E1103" s="142"/>
      <c r="F1103" s="142"/>
      <c r="G1103" s="142"/>
      <c r="H1103" s="142"/>
      <c r="I1103" s="142"/>
    </row>
    <row r="1104" spans="1:9" s="17" customFormat="1" ht="16.5" customHeight="1" x14ac:dyDescent="0.2">
      <c r="A1104" s="142"/>
      <c r="B1104" s="142"/>
      <c r="C1104" s="142"/>
      <c r="D1104" s="142"/>
      <c r="E1104" s="142"/>
      <c r="F1104" s="142"/>
      <c r="G1104" s="142"/>
      <c r="H1104" s="142"/>
      <c r="I1104" s="142"/>
    </row>
    <row r="1105" spans="1:9" s="17" customFormat="1" ht="16.5" customHeight="1" x14ac:dyDescent="0.2">
      <c r="A1105" s="142"/>
      <c r="B1105" s="142"/>
      <c r="C1105" s="142"/>
      <c r="D1105" s="142"/>
      <c r="E1105" s="142"/>
      <c r="F1105" s="142"/>
      <c r="G1105" s="142"/>
      <c r="H1105" s="142"/>
      <c r="I1105" s="142"/>
    </row>
    <row r="1106" spans="1:9" s="17" customFormat="1" ht="16.5" customHeight="1" x14ac:dyDescent="0.2">
      <c r="A1106" s="142"/>
      <c r="B1106" s="142"/>
      <c r="C1106" s="142"/>
      <c r="D1106" s="142"/>
      <c r="E1106" s="142"/>
      <c r="F1106" s="142"/>
      <c r="G1106" s="142"/>
      <c r="H1106" s="142"/>
      <c r="I1106" s="337">
        <v>19</v>
      </c>
    </row>
    <row r="1107" spans="1:9" s="17" customFormat="1" ht="16.5" customHeight="1" x14ac:dyDescent="0.2">
      <c r="A1107" s="142"/>
      <c r="B1107" s="142"/>
      <c r="C1107" s="142"/>
      <c r="D1107" s="142"/>
      <c r="E1107" s="142"/>
      <c r="F1107" s="142"/>
      <c r="G1107" s="142"/>
      <c r="H1107" s="142"/>
      <c r="I1107" s="337"/>
    </row>
    <row r="1108" spans="1:9" s="17" customFormat="1" ht="16.5" customHeight="1" x14ac:dyDescent="0.2">
      <c r="A1108" s="142"/>
      <c r="B1108" s="142"/>
      <c r="C1108" s="142"/>
      <c r="D1108" s="142"/>
      <c r="E1108" s="142"/>
      <c r="F1108" s="142"/>
      <c r="G1108" s="142"/>
      <c r="H1108" s="142"/>
      <c r="I1108" s="337"/>
    </row>
    <row r="1109" spans="1:9" s="17" customFormat="1" ht="16.5" customHeight="1" x14ac:dyDescent="0.2">
      <c r="A1109" s="156"/>
      <c r="B1109" s="737" t="s">
        <v>285</v>
      </c>
      <c r="C1109" s="737"/>
      <c r="D1109" s="156"/>
      <c r="E1109" s="156"/>
      <c r="F1109" s="156"/>
      <c r="G1109" s="156"/>
      <c r="H1109" s="156"/>
      <c r="I1109" s="15"/>
    </row>
    <row r="1110" spans="1:9" s="17" customFormat="1" ht="16.5" customHeight="1" x14ac:dyDescent="0.2">
      <c r="A1110" s="156"/>
      <c r="B1110" s="156"/>
      <c r="C1110" s="156"/>
      <c r="D1110" s="156"/>
      <c r="E1110" s="156"/>
      <c r="F1110" s="156"/>
      <c r="G1110" s="156"/>
      <c r="H1110" s="156"/>
      <c r="I1110" s="15"/>
    </row>
    <row r="1111" spans="1:9" s="17" customFormat="1" ht="16.5" customHeight="1" x14ac:dyDescent="0.2">
      <c r="A1111" s="621" t="s">
        <v>719</v>
      </c>
      <c r="B1111" s="621"/>
      <c r="C1111" s="621"/>
      <c r="D1111" s="621"/>
      <c r="E1111" s="621"/>
      <c r="F1111" s="621"/>
      <c r="G1111" s="621"/>
      <c r="H1111" s="621"/>
      <c r="I1111" s="621"/>
    </row>
    <row r="1112" spans="1:9" s="17" customFormat="1" ht="16.5" customHeight="1" x14ac:dyDescent="0.2">
      <c r="A1112" s="621" t="s">
        <v>720</v>
      </c>
      <c r="B1112" s="621"/>
      <c r="C1112" s="621"/>
      <c r="D1112" s="621"/>
      <c r="E1112" s="621"/>
      <c r="F1112" s="621"/>
      <c r="G1112" s="621"/>
      <c r="H1112" s="621"/>
      <c r="I1112" s="621"/>
    </row>
    <row r="1113" spans="1:9" s="17" customFormat="1" ht="16.5" customHeight="1" x14ac:dyDescent="0.2">
      <c r="A1113" s="156" t="s">
        <v>416</v>
      </c>
      <c r="B1113" s="156"/>
      <c r="C1113" s="156"/>
      <c r="D1113" s="156"/>
      <c r="E1113" s="156"/>
      <c r="F1113" s="156"/>
      <c r="G1113" s="156"/>
      <c r="H1113" s="156"/>
      <c r="I1113" s="156"/>
    </row>
    <row r="1114" spans="1:9" s="17" customFormat="1" ht="16.5" customHeight="1" x14ac:dyDescent="0.2">
      <c r="A1114" s="145"/>
      <c r="B1114" s="145"/>
      <c r="C1114" s="145"/>
      <c r="D1114" s="145"/>
      <c r="E1114" s="605" t="s">
        <v>84</v>
      </c>
      <c r="F1114" s="145"/>
      <c r="G1114" s="145"/>
      <c r="H1114" s="145"/>
      <c r="I1114" s="145"/>
    </row>
    <row r="1115" spans="1:9" s="17" customFormat="1" ht="16.5" customHeight="1" x14ac:dyDescent="0.2">
      <c r="A1115" s="224"/>
      <c r="B1115" s="247"/>
      <c r="C1115" s="15"/>
      <c r="D1115" s="156"/>
      <c r="E1115" s="605"/>
      <c r="F1115" s="156"/>
      <c r="G1115" s="224"/>
      <c r="H1115" s="156"/>
      <c r="I1115" s="156"/>
    </row>
    <row r="1116" spans="1:9" s="17" customFormat="1" ht="16.5" customHeight="1" x14ac:dyDescent="0.2">
      <c r="A1116" s="613" t="s">
        <v>150</v>
      </c>
      <c r="B1116" s="615" t="s">
        <v>151</v>
      </c>
      <c r="C1116" s="616"/>
      <c r="D1116" s="411" t="s">
        <v>85</v>
      </c>
      <c r="E1116" s="409" t="s">
        <v>152</v>
      </c>
      <c r="F1116" s="42" t="s">
        <v>86</v>
      </c>
      <c r="G1116" s="619" t="s">
        <v>52</v>
      </c>
      <c r="H1116" s="620"/>
      <c r="I1116" s="613" t="s">
        <v>53</v>
      </c>
    </row>
    <row r="1117" spans="1:9" s="17" customFormat="1" ht="16.5" customHeight="1" x14ac:dyDescent="0.2">
      <c r="A1117" s="614"/>
      <c r="B1117" s="617"/>
      <c r="C1117" s="618"/>
      <c r="D1117" s="412" t="s">
        <v>537</v>
      </c>
      <c r="E1117" s="44" t="s">
        <v>571</v>
      </c>
      <c r="F1117" s="44" t="s">
        <v>571</v>
      </c>
      <c r="G1117" s="29" t="s">
        <v>55</v>
      </c>
      <c r="H1117" s="29" t="s">
        <v>56</v>
      </c>
      <c r="I1117" s="614"/>
    </row>
    <row r="1118" spans="1:9" s="17" customFormat="1" ht="16.5" customHeight="1" x14ac:dyDescent="0.2">
      <c r="A1118" s="149">
        <v>1</v>
      </c>
      <c r="B1118" s="717">
        <v>2</v>
      </c>
      <c r="C1118" s="718"/>
      <c r="D1118" s="261">
        <v>3</v>
      </c>
      <c r="E1118" s="147">
        <v>4</v>
      </c>
      <c r="F1118" s="261">
        <v>5</v>
      </c>
      <c r="G1118" s="261">
        <v>6</v>
      </c>
      <c r="H1118" s="261">
        <v>7</v>
      </c>
      <c r="I1118" s="262">
        <v>8</v>
      </c>
    </row>
    <row r="1119" spans="1:9" s="17" customFormat="1" ht="16.5" customHeight="1" x14ac:dyDescent="0.2">
      <c r="A1119" s="86">
        <v>10</v>
      </c>
      <c r="B1119" s="601" t="s">
        <v>199</v>
      </c>
      <c r="C1119" s="602"/>
      <c r="D1119" s="218">
        <f>199167.68+609378.75+4302912.08+30935+200000+613398.63+188320+149991+449500.93+40246.4+198022.2+738454.38+315361.7+305747.8+209943.04</f>
        <v>8551379.5899999999</v>
      </c>
      <c r="E1119" s="6">
        <f>245000+250000+5134803.53+30000+410000+400500+180000+150000+509324.47+12000+480000+383401+550000+61626</f>
        <v>8796655</v>
      </c>
      <c r="F1119" s="218">
        <f>240505.04+250000+5126093.85+25400+409391.93+393306.89+179600+150000+508524.31+11850+479699.84+383401+547471.4+61626</f>
        <v>8766870.2599999979</v>
      </c>
      <c r="G1119" s="91">
        <f t="shared" ref="G1119:G1126" si="54">F1119/D1119</f>
        <v>1.0251995210517837</v>
      </c>
      <c r="H1119" s="92">
        <f t="shared" ref="H1119:H1126" si="55">F1119/E1119</f>
        <v>0.99661408342148217</v>
      </c>
      <c r="I1119" s="92">
        <f>F1119/F1126</f>
        <v>0.63153485108289031</v>
      </c>
    </row>
    <row r="1120" spans="1:9" s="17" customFormat="1" ht="16.5" customHeight="1" x14ac:dyDescent="0.2">
      <c r="A1120" s="86">
        <v>21</v>
      </c>
      <c r="B1120" s="601" t="s">
        <v>109</v>
      </c>
      <c r="C1120" s="602"/>
      <c r="D1120" s="218">
        <f>189999.74+1983205.7+253543.84+80000+124539.24+142306.9+162052.6</f>
        <v>2935648.02</v>
      </c>
      <c r="E1120" s="6">
        <f>80000+2152692.7+70000+127000+30000+20675.53+134274.77+126599+150000+338374</f>
        <v>3229616</v>
      </c>
      <c r="F1120" s="218">
        <f>69555+2009961.89+69655+126907.07+20675.53+9142.74+91727.74+126599+117270.52+338374</f>
        <v>2979868.4899999998</v>
      </c>
      <c r="G1120" s="91">
        <f t="shared" si="54"/>
        <v>1.0150632738321264</v>
      </c>
      <c r="H1120" s="92">
        <f t="shared" si="55"/>
        <v>0.92266959601389131</v>
      </c>
      <c r="I1120" s="92">
        <f>F1120/F1126</f>
        <v>0.21465936500339491</v>
      </c>
    </row>
    <row r="1121" spans="1:9" s="17" customFormat="1" ht="16.5" customHeight="1" x14ac:dyDescent="0.2">
      <c r="A1121" s="86">
        <v>22</v>
      </c>
      <c r="B1121" s="601" t="s">
        <v>200</v>
      </c>
      <c r="C1121" s="602"/>
      <c r="D1121" s="218">
        <f>2258880.01+217065.65+139680+178695.96+228181.58</f>
        <v>3022503.1999999997</v>
      </c>
      <c r="E1121" s="6">
        <f>0.26+475531.98+12984.77+1880.76+783764.47+72143.77+61267.4+136680</f>
        <v>1544253.41</v>
      </c>
      <c r="F1121" s="218">
        <f>318960.95+12548.83+763319.38+69590+59396.36+136679.36</f>
        <v>1360494.8800000004</v>
      </c>
      <c r="G1121" s="91">
        <f t="shared" si="54"/>
        <v>0.45012189896109966</v>
      </c>
      <c r="H1121" s="92">
        <f t="shared" si="55"/>
        <v>0.88100493817268011</v>
      </c>
      <c r="I1121" s="92">
        <f>F1121/F1126</f>
        <v>9.8005320708354493E-2</v>
      </c>
    </row>
    <row r="1122" spans="1:9" s="17" customFormat="1" ht="16.5" customHeight="1" x14ac:dyDescent="0.2">
      <c r="A1122" s="86">
        <v>31</v>
      </c>
      <c r="B1122" s="601" t="s">
        <v>201</v>
      </c>
      <c r="C1122" s="602"/>
      <c r="D1122" s="218">
        <v>0</v>
      </c>
      <c r="E1122" s="6">
        <f>23104.81+2015.49+352</f>
        <v>25472.300000000003</v>
      </c>
      <c r="F1122" s="218">
        <v>0</v>
      </c>
      <c r="G1122" s="91" t="e">
        <f t="shared" si="54"/>
        <v>#DIV/0!</v>
      </c>
      <c r="H1122" s="92">
        <f t="shared" si="55"/>
        <v>0</v>
      </c>
      <c r="I1122" s="92">
        <f>F1122/F1126</f>
        <v>0</v>
      </c>
    </row>
    <row r="1123" spans="1:9" s="17" customFormat="1" ht="16.5" customHeight="1" x14ac:dyDescent="0.2">
      <c r="A1123" s="86" t="s">
        <v>158</v>
      </c>
      <c r="B1123" s="601" t="s">
        <v>110</v>
      </c>
      <c r="C1123" s="602"/>
      <c r="D1123" s="218">
        <f>83464</f>
        <v>83464</v>
      </c>
      <c r="E1123" s="6">
        <f>25990+860.01+910831.83+361.2+17</f>
        <v>938060.03999999992</v>
      </c>
      <c r="F1123" s="218">
        <f>25990+748623.5</f>
        <v>774613.5</v>
      </c>
      <c r="G1123" s="91">
        <f t="shared" si="54"/>
        <v>9.2808096904054445</v>
      </c>
      <c r="H1123" s="92">
        <f t="shared" si="55"/>
        <v>0.82576111013107445</v>
      </c>
      <c r="I1123" s="92">
        <f>F1123/F1126</f>
        <v>5.5800463205360196E-2</v>
      </c>
    </row>
    <row r="1124" spans="1:9" s="17" customFormat="1" ht="16.5" customHeight="1" x14ac:dyDescent="0.2">
      <c r="A1124" s="263">
        <v>38</v>
      </c>
      <c r="B1124" s="601" t="s">
        <v>519</v>
      </c>
      <c r="C1124" s="602"/>
      <c r="D1124" s="218">
        <v>0</v>
      </c>
      <c r="E1124" s="167">
        <v>0</v>
      </c>
      <c r="F1124" s="218">
        <v>0</v>
      </c>
      <c r="G1124" s="91" t="e">
        <f t="shared" si="54"/>
        <v>#DIV/0!</v>
      </c>
      <c r="H1124" s="92" t="e">
        <f t="shared" si="55"/>
        <v>#DIV/0!</v>
      </c>
      <c r="I1124" s="92">
        <f>F1124/F1126</f>
        <v>0</v>
      </c>
    </row>
    <row r="1125" spans="1:9" s="17" customFormat="1" ht="16.5" customHeight="1" x14ac:dyDescent="0.2">
      <c r="A1125" s="263">
        <v>4</v>
      </c>
      <c r="B1125" s="601" t="s">
        <v>160</v>
      </c>
      <c r="C1125" s="602"/>
      <c r="D1125" s="218">
        <v>0</v>
      </c>
      <c r="E1125" s="167">
        <v>0</v>
      </c>
      <c r="F1125" s="218">
        <v>0</v>
      </c>
      <c r="G1125" s="91" t="e">
        <f t="shared" si="54"/>
        <v>#DIV/0!</v>
      </c>
      <c r="H1125" s="92" t="e">
        <f t="shared" si="55"/>
        <v>#DIV/0!</v>
      </c>
      <c r="I1125" s="92" t="e">
        <f>F1125/F1127</f>
        <v>#DIV/0!</v>
      </c>
    </row>
    <row r="1126" spans="1:9" s="17" customFormat="1" ht="16.5" customHeight="1" x14ac:dyDescent="0.2">
      <c r="A1126" s="253"/>
      <c r="B1126" s="625" t="s">
        <v>192</v>
      </c>
      <c r="C1126" s="626"/>
      <c r="D1126" s="417">
        <f>D1119+D1120+D1121+D1122+D1123+D1124+D1125</f>
        <v>14592994.809999999</v>
      </c>
      <c r="E1126" s="417">
        <f>E1119+E1120+E1121+E1122+E1123+E1125</f>
        <v>14534056.75</v>
      </c>
      <c r="F1126" s="417">
        <f>F1119+F1120+F1121+F1122+F1123+F1124+F1125</f>
        <v>13881847.129999999</v>
      </c>
      <c r="G1126" s="200">
        <f t="shared" si="54"/>
        <v>0.95126787275270741</v>
      </c>
      <c r="H1126" s="206">
        <f t="shared" si="55"/>
        <v>0.95512542497812936</v>
      </c>
      <c r="I1126" s="155">
        <f>I1119+I1120+I1121+I1122+I1123</f>
        <v>0.99999999999999978</v>
      </c>
    </row>
    <row r="1127" spans="1:9" s="17" customFormat="1" ht="16.5" customHeight="1" x14ac:dyDescent="0.2">
      <c r="A1127" s="264"/>
      <c r="B1127" s="264"/>
      <c r="C1127" s="264"/>
      <c r="D1127" s="264"/>
      <c r="E1127" s="265"/>
      <c r="F1127" s="264"/>
      <c r="G1127" s="156"/>
      <c r="H1127" s="156"/>
      <c r="I1127" s="15"/>
    </row>
    <row r="1128" spans="1:9" s="17" customFormat="1" ht="16.5" customHeight="1" x14ac:dyDescent="0.2">
      <c r="A1128" s="732" t="s">
        <v>1069</v>
      </c>
      <c r="B1128" s="732"/>
      <c r="C1128" s="732"/>
      <c r="D1128" s="732"/>
      <c r="E1128" s="732"/>
      <c r="F1128" s="732"/>
      <c r="G1128" s="732"/>
      <c r="H1128" s="732"/>
      <c r="I1128" s="732"/>
    </row>
    <row r="1129" spans="1:9" s="17" customFormat="1" ht="16.5" customHeight="1" x14ac:dyDescent="0.2">
      <c r="A1129" s="621" t="s">
        <v>1070</v>
      </c>
      <c r="B1129" s="621"/>
      <c r="C1129" s="621"/>
      <c r="D1129" s="621"/>
      <c r="E1129" s="621"/>
      <c r="F1129" s="621"/>
      <c r="G1129" s="621"/>
      <c r="H1129" s="621"/>
      <c r="I1129" s="621"/>
    </row>
    <row r="1130" spans="1:9" s="17" customFormat="1" ht="16.5" customHeight="1" x14ac:dyDescent="0.2">
      <c r="A1130" s="621" t="s">
        <v>511</v>
      </c>
      <c r="B1130" s="621"/>
      <c r="C1130" s="621"/>
      <c r="D1130" s="621"/>
      <c r="E1130" s="621"/>
      <c r="F1130" s="621"/>
      <c r="G1130" s="621"/>
      <c r="H1130" s="621"/>
      <c r="I1130" s="621"/>
    </row>
    <row r="1131" spans="1:9" s="17" customFormat="1" ht="16.5" customHeight="1" x14ac:dyDescent="0.2">
      <c r="A1131" s="145"/>
      <c r="B1131" s="145"/>
      <c r="C1131" s="145"/>
      <c r="D1131" s="145"/>
      <c r="E1131" s="145"/>
      <c r="F1131" s="145"/>
      <c r="G1131" s="145"/>
      <c r="H1131" s="145"/>
      <c r="I1131" s="145"/>
    </row>
    <row r="1132" spans="1:9" s="17" customFormat="1" ht="16.5" customHeight="1" x14ac:dyDescent="0.2">
      <c r="A1132" s="145"/>
      <c r="B1132" s="145"/>
      <c r="C1132" s="145"/>
      <c r="D1132" s="145"/>
      <c r="E1132" s="145"/>
      <c r="F1132" s="145"/>
      <c r="G1132" s="145"/>
      <c r="H1132" s="145"/>
      <c r="I1132" s="145"/>
    </row>
    <row r="1133" spans="1:9" s="17" customFormat="1" ht="16.5" customHeight="1" x14ac:dyDescent="0.2">
      <c r="A1133" s="145"/>
      <c r="B1133" s="145"/>
      <c r="C1133" s="145"/>
      <c r="D1133" s="145"/>
      <c r="E1133" s="145"/>
      <c r="F1133" s="145"/>
      <c r="G1133" s="145"/>
      <c r="H1133" s="145"/>
      <c r="I1133" s="145"/>
    </row>
    <row r="1134" spans="1:9" s="17" customFormat="1" ht="16.5" customHeight="1" x14ac:dyDescent="0.2">
      <c r="A1134" s="145"/>
      <c r="B1134" s="145"/>
      <c r="C1134" s="145"/>
      <c r="D1134" s="145"/>
      <c r="E1134" s="145"/>
      <c r="F1134" s="145"/>
      <c r="G1134" s="145"/>
      <c r="H1134" s="145"/>
      <c r="I1134" s="145"/>
    </row>
    <row r="1135" spans="1:9" s="17" customFormat="1" ht="16.5" customHeight="1" x14ac:dyDescent="0.2">
      <c r="A1135" s="145"/>
      <c r="B1135" s="145"/>
      <c r="C1135" s="145"/>
      <c r="D1135" s="145"/>
      <c r="E1135" s="145"/>
      <c r="F1135" s="145"/>
      <c r="G1135" s="145"/>
      <c r="H1135" s="145"/>
      <c r="I1135" s="145"/>
    </row>
    <row r="1136" spans="1:9" s="17" customFormat="1" ht="16.5" customHeight="1" x14ac:dyDescent="0.2">
      <c r="A1136" s="145"/>
      <c r="B1136" s="145"/>
      <c r="C1136" s="145"/>
      <c r="D1136" s="145"/>
      <c r="E1136" s="145"/>
      <c r="F1136" s="145"/>
      <c r="G1136" s="145"/>
      <c r="H1136" s="145"/>
      <c r="I1136" s="145"/>
    </row>
    <row r="1137" spans="1:9" s="17" customFormat="1" ht="16.5" customHeight="1" x14ac:dyDescent="0.2">
      <c r="A1137" s="145"/>
      <c r="B1137" s="145"/>
      <c r="C1137" s="145"/>
      <c r="D1137" s="145"/>
      <c r="E1137" s="145"/>
      <c r="F1137" s="145"/>
      <c r="G1137" s="145"/>
      <c r="H1137" s="145"/>
      <c r="I1137" s="145"/>
    </row>
    <row r="1138" spans="1:9" s="17" customFormat="1" ht="16.5" customHeight="1" x14ac:dyDescent="0.2">
      <c r="A1138" s="145"/>
      <c r="B1138" s="145"/>
      <c r="C1138" s="145"/>
      <c r="D1138" s="145"/>
      <c r="E1138" s="145"/>
      <c r="F1138" s="145"/>
      <c r="G1138" s="145"/>
      <c r="H1138" s="145"/>
      <c r="I1138" s="145"/>
    </row>
    <row r="1139" spans="1:9" s="17" customFormat="1" ht="16.5" customHeight="1" x14ac:dyDescent="0.2">
      <c r="A1139" s="145"/>
      <c r="B1139" s="145"/>
      <c r="C1139" s="145"/>
      <c r="D1139" s="145"/>
      <c r="E1139" s="145"/>
      <c r="F1139" s="145"/>
      <c r="G1139" s="145"/>
      <c r="H1139" s="145"/>
      <c r="I1139" s="145"/>
    </row>
    <row r="1140" spans="1:9" s="17" customFormat="1" ht="16.5" customHeight="1" x14ac:dyDescent="0.2">
      <c r="A1140" s="145"/>
      <c r="B1140" s="145"/>
      <c r="C1140" s="145"/>
      <c r="D1140" s="145"/>
      <c r="E1140" s="145"/>
      <c r="F1140" s="145"/>
      <c r="G1140" s="145"/>
      <c r="H1140" s="145"/>
      <c r="I1140" s="145"/>
    </row>
    <row r="1141" spans="1:9" s="17" customFormat="1" ht="16.5" customHeight="1" x14ac:dyDescent="0.2">
      <c r="A1141" s="145"/>
      <c r="B1141" s="145"/>
      <c r="C1141" s="145"/>
      <c r="D1141" s="145"/>
      <c r="E1141" s="145"/>
      <c r="F1141" s="145"/>
      <c r="G1141" s="145"/>
      <c r="H1141" s="145"/>
      <c r="I1141" s="145"/>
    </row>
    <row r="1142" spans="1:9" s="17" customFormat="1" ht="16.5" customHeight="1" x14ac:dyDescent="0.2">
      <c r="A1142" s="145"/>
      <c r="B1142" s="145"/>
      <c r="C1142" s="145"/>
      <c r="D1142" s="145"/>
      <c r="E1142" s="145"/>
      <c r="F1142" s="145"/>
      <c r="G1142" s="145"/>
      <c r="H1142" s="145"/>
      <c r="I1142" s="145"/>
    </row>
    <row r="1143" spans="1:9" s="17" customFormat="1" ht="16.5" customHeight="1" x14ac:dyDescent="0.2">
      <c r="A1143" s="145"/>
      <c r="B1143" s="145"/>
      <c r="C1143" s="145"/>
      <c r="D1143" s="145"/>
      <c r="E1143" s="145"/>
      <c r="F1143" s="145"/>
      <c r="G1143" s="145"/>
      <c r="H1143" s="145"/>
      <c r="I1143" s="145"/>
    </row>
    <row r="1144" spans="1:9" s="17" customFormat="1" ht="16.5" customHeight="1" x14ac:dyDescent="0.2">
      <c r="A1144" s="145"/>
      <c r="B1144" s="145"/>
      <c r="C1144" s="145"/>
      <c r="D1144" s="145"/>
      <c r="E1144" s="145"/>
      <c r="F1144" s="145"/>
      <c r="G1144" s="145"/>
      <c r="H1144" s="145"/>
      <c r="I1144" s="145"/>
    </row>
    <row r="1145" spans="1:9" s="17" customFormat="1" ht="16.5" customHeight="1" x14ac:dyDescent="0.2">
      <c r="A1145" s="145"/>
      <c r="B1145" s="145"/>
      <c r="C1145" s="145"/>
      <c r="D1145" s="145"/>
      <c r="E1145" s="145"/>
      <c r="F1145" s="145"/>
      <c r="G1145" s="145"/>
      <c r="H1145" s="145"/>
      <c r="I1145" s="145"/>
    </row>
    <row r="1146" spans="1:9" s="17" customFormat="1" ht="16.5" customHeight="1" x14ac:dyDescent="0.2">
      <c r="A1146" s="145"/>
      <c r="B1146" s="145"/>
      <c r="C1146" s="145"/>
      <c r="D1146" s="145"/>
      <c r="E1146" s="145"/>
      <c r="F1146" s="145"/>
      <c r="G1146" s="145"/>
      <c r="H1146" s="145"/>
      <c r="I1146" s="145"/>
    </row>
    <row r="1147" spans="1:9" s="17" customFormat="1" ht="16.5" customHeight="1" x14ac:dyDescent="0.2">
      <c r="A1147" s="145"/>
      <c r="B1147" s="145"/>
      <c r="C1147" s="145"/>
      <c r="D1147" s="145"/>
      <c r="E1147" s="145"/>
      <c r="F1147" s="145"/>
      <c r="G1147" s="145"/>
      <c r="H1147" s="145"/>
      <c r="I1147" s="145"/>
    </row>
    <row r="1148" spans="1:9" s="17" customFormat="1" ht="16.5" customHeight="1" x14ac:dyDescent="0.2">
      <c r="A1148" s="145"/>
      <c r="B1148" s="145"/>
      <c r="C1148" s="145"/>
      <c r="D1148" s="145"/>
      <c r="E1148" s="145"/>
      <c r="F1148" s="145"/>
      <c r="G1148" s="145"/>
      <c r="H1148" s="145"/>
      <c r="I1148" s="145"/>
    </row>
    <row r="1149" spans="1:9" s="17" customFormat="1" ht="16.5" customHeight="1" x14ac:dyDescent="0.2">
      <c r="A1149" s="145"/>
      <c r="B1149" s="145"/>
      <c r="C1149" s="145"/>
      <c r="D1149" s="145"/>
      <c r="E1149" s="145"/>
      <c r="F1149" s="145"/>
      <c r="G1149" s="145"/>
      <c r="H1149" s="145"/>
      <c r="I1149" s="145"/>
    </row>
    <row r="1150" spans="1:9" s="17" customFormat="1" ht="16.5" customHeight="1" x14ac:dyDescent="0.2">
      <c r="A1150" s="145"/>
      <c r="B1150" s="145"/>
      <c r="C1150" s="145"/>
      <c r="D1150" s="145"/>
      <c r="E1150" s="145"/>
      <c r="F1150" s="145"/>
      <c r="G1150" s="145"/>
      <c r="H1150" s="145"/>
      <c r="I1150" s="145"/>
    </row>
    <row r="1151" spans="1:9" s="17" customFormat="1" ht="16.5" customHeight="1" x14ac:dyDescent="0.2">
      <c r="A1151" s="145"/>
      <c r="B1151" s="145"/>
      <c r="C1151" s="145"/>
      <c r="D1151" s="145"/>
      <c r="E1151" s="145"/>
      <c r="F1151" s="145"/>
      <c r="G1151" s="145"/>
      <c r="H1151" s="145"/>
      <c r="I1151" s="145"/>
    </row>
    <row r="1152" spans="1:9" s="17" customFormat="1" ht="16.5" customHeight="1" x14ac:dyDescent="0.2">
      <c r="A1152" s="145"/>
      <c r="B1152" s="145"/>
      <c r="C1152" s="145"/>
      <c r="D1152" s="145"/>
      <c r="E1152" s="145"/>
      <c r="F1152" s="145"/>
      <c r="G1152" s="145"/>
      <c r="H1152" s="145"/>
      <c r="I1152" s="145"/>
    </row>
    <row r="1153" spans="1:9" s="17" customFormat="1" ht="16.5" customHeight="1" x14ac:dyDescent="0.2">
      <c r="A1153" s="145"/>
      <c r="B1153" s="145"/>
      <c r="C1153" s="145"/>
      <c r="D1153" s="145"/>
      <c r="E1153" s="145"/>
      <c r="F1153" s="145"/>
      <c r="G1153" s="145"/>
      <c r="H1153" s="145"/>
      <c r="I1153" s="145"/>
    </row>
    <row r="1154" spans="1:9" s="17" customFormat="1" ht="16.5" customHeight="1" x14ac:dyDescent="0.2">
      <c r="A1154" s="145"/>
      <c r="B1154" s="145"/>
      <c r="C1154" s="145"/>
      <c r="D1154" s="145"/>
      <c r="E1154" s="145"/>
      <c r="F1154" s="145"/>
      <c r="G1154" s="145"/>
      <c r="H1154" s="145"/>
      <c r="I1154" s="145"/>
    </row>
    <row r="1155" spans="1:9" s="17" customFormat="1" ht="16.5" customHeight="1" x14ac:dyDescent="0.2">
      <c r="A1155" s="145"/>
      <c r="B1155" s="145"/>
      <c r="C1155" s="145"/>
      <c r="D1155" s="145"/>
      <c r="E1155" s="145"/>
      <c r="F1155" s="145"/>
      <c r="G1155" s="145"/>
      <c r="H1155" s="145"/>
      <c r="I1155" s="145"/>
    </row>
    <row r="1156" spans="1:9" s="17" customFormat="1" ht="16.5" customHeight="1" x14ac:dyDescent="0.2">
      <c r="A1156" s="145"/>
      <c r="B1156" s="145"/>
      <c r="C1156" s="145"/>
      <c r="D1156" s="145"/>
      <c r="E1156" s="145"/>
      <c r="F1156" s="145"/>
      <c r="G1156" s="145"/>
      <c r="H1156" s="145"/>
      <c r="I1156" s="145"/>
    </row>
    <row r="1157" spans="1:9" s="17" customFormat="1" ht="16.5" customHeight="1" x14ac:dyDescent="0.2">
      <c r="A1157" s="145"/>
      <c r="B1157" s="145"/>
      <c r="C1157" s="145"/>
      <c r="D1157" s="145"/>
      <c r="E1157" s="145"/>
      <c r="F1157" s="145"/>
      <c r="G1157" s="145"/>
      <c r="H1157" s="145"/>
      <c r="I1157" s="145"/>
    </row>
    <row r="1158" spans="1:9" s="17" customFormat="1" ht="16.5" customHeight="1" x14ac:dyDescent="0.2">
      <c r="A1158" s="145"/>
      <c r="B1158" s="145"/>
      <c r="C1158" s="145"/>
      <c r="D1158" s="145"/>
      <c r="E1158" s="145"/>
      <c r="F1158" s="145"/>
      <c r="G1158" s="145"/>
      <c r="H1158" s="145"/>
      <c r="I1158" s="145"/>
    </row>
    <row r="1159" spans="1:9" s="17" customFormat="1" ht="16.5" customHeight="1" x14ac:dyDescent="0.2">
      <c r="A1159" s="145"/>
      <c r="B1159" s="145"/>
      <c r="C1159" s="145"/>
      <c r="D1159" s="145"/>
      <c r="E1159" s="145"/>
      <c r="F1159" s="145"/>
      <c r="G1159" s="145"/>
      <c r="H1159" s="145"/>
      <c r="I1159" s="145"/>
    </row>
    <row r="1160" spans="1:9" s="17" customFormat="1" ht="16.5" customHeight="1" x14ac:dyDescent="0.2">
      <c r="A1160" s="145"/>
      <c r="B1160" s="145"/>
      <c r="C1160" s="145"/>
      <c r="D1160" s="145"/>
      <c r="E1160" s="145"/>
      <c r="F1160" s="145"/>
      <c r="G1160" s="145"/>
      <c r="H1160" s="145"/>
      <c r="I1160" s="145"/>
    </row>
    <row r="1161" spans="1:9" s="17" customFormat="1" ht="16.5" customHeight="1" x14ac:dyDescent="0.2">
      <c r="A1161" s="145"/>
      <c r="B1161" s="145"/>
      <c r="C1161" s="145"/>
      <c r="D1161" s="145"/>
      <c r="E1161" s="145"/>
      <c r="F1161" s="145"/>
      <c r="G1161" s="145"/>
      <c r="H1161" s="145"/>
      <c r="I1161" s="257">
        <v>20</v>
      </c>
    </row>
    <row r="1162" spans="1:9" s="17" customFormat="1" ht="16.5" customHeight="1" x14ac:dyDescent="0.2">
      <c r="A1162" s="145"/>
      <c r="B1162" s="145"/>
      <c r="C1162" s="145"/>
      <c r="D1162" s="145"/>
      <c r="E1162" s="145"/>
      <c r="F1162" s="145"/>
      <c r="G1162" s="145"/>
      <c r="H1162" s="145"/>
      <c r="I1162" s="257"/>
    </row>
    <row r="1163" spans="1:9" s="17" customFormat="1" ht="16.5" customHeight="1" x14ac:dyDescent="0.2">
      <c r="A1163" s="145"/>
      <c r="B1163" s="145" t="s">
        <v>721</v>
      </c>
      <c r="C1163" s="145"/>
      <c r="D1163" s="145"/>
      <c r="E1163" s="145"/>
      <c r="F1163" s="145"/>
      <c r="G1163" s="145"/>
      <c r="H1163" s="145"/>
      <c r="I1163" s="257"/>
    </row>
    <row r="1164" spans="1:9" s="17" customFormat="1" ht="16.5" customHeight="1" x14ac:dyDescent="0.2">
      <c r="A1164" s="145"/>
      <c r="B1164" s="145"/>
      <c r="C1164" s="145"/>
      <c r="D1164" s="145"/>
      <c r="E1164" s="605" t="s">
        <v>84</v>
      </c>
      <c r="F1164" s="145"/>
      <c r="G1164" s="145"/>
      <c r="H1164" s="145"/>
      <c r="I1164" s="145"/>
    </row>
    <row r="1165" spans="1:9" s="17" customFormat="1" ht="16.5" customHeight="1" x14ac:dyDescent="0.2">
      <c r="A1165" s="224"/>
      <c r="B1165" s="247"/>
      <c r="C1165" s="15"/>
      <c r="D1165" s="156"/>
      <c r="E1165" s="605"/>
      <c r="F1165" s="156"/>
      <c r="G1165" s="224"/>
      <c r="H1165" s="156"/>
      <c r="I1165" s="156"/>
    </row>
    <row r="1166" spans="1:9" s="17" customFormat="1" ht="16.5" customHeight="1" x14ac:dyDescent="0.2">
      <c r="A1166" s="26" t="s">
        <v>48</v>
      </c>
      <c r="B1166" s="615" t="s">
        <v>49</v>
      </c>
      <c r="C1166" s="616"/>
      <c r="D1166" s="411" t="s">
        <v>85</v>
      </c>
      <c r="E1166" s="409" t="s">
        <v>152</v>
      </c>
      <c r="F1166" s="42" t="s">
        <v>86</v>
      </c>
      <c r="G1166" s="619" t="s">
        <v>52</v>
      </c>
      <c r="H1166" s="620"/>
      <c r="I1166" s="613" t="s">
        <v>53</v>
      </c>
    </row>
    <row r="1167" spans="1:9" s="17" customFormat="1" ht="16.5" customHeight="1" x14ac:dyDescent="0.2">
      <c r="A1167" s="27" t="s">
        <v>54</v>
      </c>
      <c r="B1167" s="617"/>
      <c r="C1167" s="618"/>
      <c r="D1167" s="412" t="s">
        <v>537</v>
      </c>
      <c r="E1167" s="44" t="s">
        <v>571</v>
      </c>
      <c r="F1167" s="44" t="s">
        <v>571</v>
      </c>
      <c r="G1167" s="29" t="s">
        <v>55</v>
      </c>
      <c r="H1167" s="29" t="s">
        <v>56</v>
      </c>
      <c r="I1167" s="614"/>
    </row>
    <row r="1168" spans="1:9" s="17" customFormat="1" ht="16.5" customHeight="1" x14ac:dyDescent="0.2">
      <c r="A1168" s="172">
        <v>1</v>
      </c>
      <c r="B1168" s="724">
        <v>2</v>
      </c>
      <c r="C1168" s="725"/>
      <c r="D1168" s="176">
        <v>3</v>
      </c>
      <c r="E1168" s="176">
        <v>4</v>
      </c>
      <c r="F1168" s="176">
        <v>5</v>
      </c>
      <c r="G1168" s="176">
        <v>6</v>
      </c>
      <c r="H1168" s="176">
        <v>7</v>
      </c>
      <c r="I1168" s="177">
        <v>8</v>
      </c>
    </row>
    <row r="1169" spans="1:9" s="17" customFormat="1" ht="16.5" customHeight="1" x14ac:dyDescent="0.2">
      <c r="A1169" s="182">
        <v>16019</v>
      </c>
      <c r="B1169" s="638" t="s">
        <v>57</v>
      </c>
      <c r="C1169" s="639"/>
      <c r="D1169" s="199">
        <v>0</v>
      </c>
      <c r="E1169" s="199">
        <f>0+0+0</f>
        <v>0</v>
      </c>
      <c r="F1169" s="199">
        <v>0</v>
      </c>
      <c r="G1169" s="170" t="e">
        <f t="shared" ref="G1169:G1201" si="56">F1169/D1169</f>
        <v>#DIV/0!</v>
      </c>
      <c r="H1169" s="170" t="e">
        <f t="shared" ref="H1169:H1201" si="57">F1169/E1169</f>
        <v>#DIV/0!</v>
      </c>
      <c r="I1169" s="155">
        <f>F1169/F1201</f>
        <v>0</v>
      </c>
    </row>
    <row r="1170" spans="1:9" s="17" customFormat="1" ht="16.5" customHeight="1" x14ac:dyDescent="0.2">
      <c r="A1170" s="182">
        <v>163</v>
      </c>
      <c r="B1170" s="638" t="s">
        <v>17</v>
      </c>
      <c r="C1170" s="639"/>
      <c r="D1170" s="185">
        <f>D1171+D1172+D1173</f>
        <v>199167.68</v>
      </c>
      <c r="E1170" s="185">
        <f>E1171+E1172+E1173</f>
        <v>325000</v>
      </c>
      <c r="F1170" s="185">
        <f>F1171+F1172+F1173</f>
        <v>310060.03999999998</v>
      </c>
      <c r="G1170" s="170">
        <f t="shared" si="56"/>
        <v>1.5567788910329226</v>
      </c>
      <c r="H1170" s="170">
        <f t="shared" si="57"/>
        <v>0.95403089230769222</v>
      </c>
      <c r="I1170" s="52">
        <f>F1170/F1201</f>
        <v>2.2335647201439827E-2</v>
      </c>
    </row>
    <row r="1171" spans="1:9" s="17" customFormat="1" ht="16.5" customHeight="1" x14ac:dyDescent="0.2">
      <c r="A1171" s="250">
        <v>16319</v>
      </c>
      <c r="B1171" s="648" t="s">
        <v>166</v>
      </c>
      <c r="C1171" s="649"/>
      <c r="D1171" s="167">
        <v>199167.68</v>
      </c>
      <c r="E1171" s="167">
        <v>325000</v>
      </c>
      <c r="F1171" s="167">
        <v>310060.03999999998</v>
      </c>
      <c r="G1171" s="165">
        <f t="shared" si="56"/>
        <v>1.5567788910329226</v>
      </c>
      <c r="H1171" s="165">
        <f t="shared" si="57"/>
        <v>0.95403089230769222</v>
      </c>
      <c r="I1171" s="81">
        <f>F1171/F1170</f>
        <v>1</v>
      </c>
    </row>
    <row r="1172" spans="1:9" s="17" customFormat="1" ht="16.5" customHeight="1" x14ac:dyDescent="0.2">
      <c r="A1172" s="250">
        <v>16519</v>
      </c>
      <c r="B1172" s="648" t="s">
        <v>167</v>
      </c>
      <c r="C1172" s="649"/>
      <c r="D1172" s="167">
        <f>0+0+0+0+0</f>
        <v>0</v>
      </c>
      <c r="E1172" s="167">
        <f>0+0+0</f>
        <v>0</v>
      </c>
      <c r="F1172" s="167">
        <f>0+0+0+0+0</f>
        <v>0</v>
      </c>
      <c r="G1172" s="165" t="e">
        <f t="shared" si="56"/>
        <v>#DIV/0!</v>
      </c>
      <c r="H1172" s="165" t="e">
        <f t="shared" si="57"/>
        <v>#DIV/0!</v>
      </c>
      <c r="I1172" s="81">
        <f>F1172/F1170</f>
        <v>0</v>
      </c>
    </row>
    <row r="1173" spans="1:9" s="17" customFormat="1" ht="16.5" customHeight="1" x14ac:dyDescent="0.2">
      <c r="A1173" s="250">
        <v>16559</v>
      </c>
      <c r="B1173" s="648" t="s">
        <v>168</v>
      </c>
      <c r="C1173" s="649"/>
      <c r="D1173" s="167">
        <f>0+0+0+0+0</f>
        <v>0</v>
      </c>
      <c r="E1173" s="167">
        <f>0+0+0</f>
        <v>0</v>
      </c>
      <c r="F1173" s="167">
        <f>0+0+0+0+0</f>
        <v>0</v>
      </c>
      <c r="G1173" s="165" t="e">
        <f t="shared" si="56"/>
        <v>#DIV/0!</v>
      </c>
      <c r="H1173" s="165" t="e">
        <f t="shared" si="57"/>
        <v>#DIV/0!</v>
      </c>
      <c r="I1173" s="81">
        <f>F1173/F1170</f>
        <v>0</v>
      </c>
    </row>
    <row r="1174" spans="1:9" s="17" customFormat="1" ht="16.5" customHeight="1" x14ac:dyDescent="0.2">
      <c r="A1174" s="182">
        <v>16637</v>
      </c>
      <c r="B1174" s="638" t="s">
        <v>63</v>
      </c>
      <c r="C1174" s="639"/>
      <c r="D1174" s="199">
        <f>0+0+0+0+0</f>
        <v>0</v>
      </c>
      <c r="E1174" s="199">
        <f>0+0+0</f>
        <v>0</v>
      </c>
      <c r="F1174" s="199">
        <f>0+0+0+0+0</f>
        <v>0</v>
      </c>
      <c r="G1174" s="170" t="e">
        <f t="shared" si="56"/>
        <v>#DIV/0!</v>
      </c>
      <c r="H1174" s="170" t="e">
        <f t="shared" si="57"/>
        <v>#DIV/0!</v>
      </c>
      <c r="I1174" s="52">
        <f>F1174/F1201</f>
        <v>0</v>
      </c>
    </row>
    <row r="1175" spans="1:9" s="17" customFormat="1" ht="16.5" customHeight="1" x14ac:dyDescent="0.2">
      <c r="A1175" s="182">
        <v>16795</v>
      </c>
      <c r="B1175" s="638" t="s">
        <v>64</v>
      </c>
      <c r="C1175" s="639"/>
      <c r="D1175" s="199">
        <f t="shared" ref="D1175:F1176" si="58">0+0+0+0+0</f>
        <v>0</v>
      </c>
      <c r="E1175" s="199">
        <f>0+0+0</f>
        <v>0</v>
      </c>
      <c r="F1175" s="199">
        <f t="shared" si="58"/>
        <v>0</v>
      </c>
      <c r="G1175" s="170" t="e">
        <f t="shared" si="56"/>
        <v>#DIV/0!</v>
      </c>
      <c r="H1175" s="170" t="e">
        <f t="shared" si="57"/>
        <v>#DIV/0!</v>
      </c>
      <c r="I1175" s="52">
        <f>F1175/F1201</f>
        <v>0</v>
      </c>
    </row>
    <row r="1176" spans="1:9" s="17" customFormat="1" ht="16.5" customHeight="1" x14ac:dyDescent="0.2">
      <c r="A1176" s="182">
        <v>16919</v>
      </c>
      <c r="B1176" s="638" t="s">
        <v>65</v>
      </c>
      <c r="C1176" s="639"/>
      <c r="D1176" s="199">
        <f t="shared" si="58"/>
        <v>0</v>
      </c>
      <c r="E1176" s="199">
        <f>0+0+0</f>
        <v>0</v>
      </c>
      <c r="F1176" s="199">
        <f t="shared" si="58"/>
        <v>0</v>
      </c>
      <c r="G1176" s="170" t="e">
        <f t="shared" si="56"/>
        <v>#DIV/0!</v>
      </c>
      <c r="H1176" s="170" t="e">
        <f t="shared" si="57"/>
        <v>#DIV/0!</v>
      </c>
      <c r="I1176" s="52">
        <f>F1176/F1201</f>
        <v>0</v>
      </c>
    </row>
    <row r="1177" spans="1:9" s="17" customFormat="1" ht="16.5" customHeight="1" x14ac:dyDescent="0.2">
      <c r="A1177" s="182">
        <v>17519</v>
      </c>
      <c r="B1177" s="638" t="s">
        <v>25</v>
      </c>
      <c r="C1177" s="639"/>
      <c r="D1177" s="199">
        <v>799378.49</v>
      </c>
      <c r="E1177" s="417">
        <v>1161193.29</v>
      </c>
      <c r="F1177" s="199">
        <v>998623.5</v>
      </c>
      <c r="G1177" s="170">
        <f>F1177/D1177</f>
        <v>1.2492499016329548</v>
      </c>
      <c r="H1177" s="170">
        <f>F1177/E1177</f>
        <v>0.85999764948693425</v>
      </c>
      <c r="I1177" s="52">
        <f>F1177/F1201</f>
        <v>7.1937364721577954E-2</v>
      </c>
    </row>
    <row r="1178" spans="1:9" s="17" customFormat="1" ht="16.5" customHeight="1" x14ac:dyDescent="0.2">
      <c r="A1178" s="182">
        <v>180</v>
      </c>
      <c r="B1178" s="638" t="s">
        <v>275</v>
      </c>
      <c r="C1178" s="639"/>
      <c r="D1178" s="185">
        <f>D1179+D1180</f>
        <v>8575932.7899999991</v>
      </c>
      <c r="E1178" s="185">
        <f>E1179+E1180</f>
        <v>7886993.0300000003</v>
      </c>
      <c r="F1178" s="185">
        <f>F1179+F1180</f>
        <v>7550071.6900000004</v>
      </c>
      <c r="G1178" s="170">
        <f t="shared" si="56"/>
        <v>0.88037906486438322</v>
      </c>
      <c r="H1178" s="170">
        <f t="shared" si="57"/>
        <v>0.95728139498558684</v>
      </c>
      <c r="I1178" s="52">
        <f>F1178/F1201</f>
        <v>0.54388091291421681</v>
      </c>
    </row>
    <row r="1179" spans="1:9" s="17" customFormat="1" ht="16.5" customHeight="1" x14ac:dyDescent="0.2">
      <c r="A1179" s="250">
        <v>18019</v>
      </c>
      <c r="B1179" s="648" t="s">
        <v>170</v>
      </c>
      <c r="C1179" s="649"/>
      <c r="D1179" s="167">
        <v>8544997.7899999991</v>
      </c>
      <c r="E1179" s="167">
        <v>7786993.0300000003</v>
      </c>
      <c r="F1179" s="167">
        <v>7455016.6900000004</v>
      </c>
      <c r="G1179" s="165">
        <f t="shared" si="56"/>
        <v>0.87244220223490554</v>
      </c>
      <c r="H1179" s="165">
        <f t="shared" si="57"/>
        <v>0.95736783907202239</v>
      </c>
      <c r="I1179" s="81">
        <f>F1179/F1178</f>
        <v>0.98741005332096388</v>
      </c>
    </row>
    <row r="1180" spans="1:9" s="17" customFormat="1" ht="16.5" customHeight="1" x14ac:dyDescent="0.2">
      <c r="A1180" s="250">
        <v>18295</v>
      </c>
      <c r="B1180" s="648" t="s">
        <v>171</v>
      </c>
      <c r="C1180" s="649"/>
      <c r="D1180" s="167">
        <v>30935</v>
      </c>
      <c r="E1180" s="167">
        <v>100000</v>
      </c>
      <c r="F1180" s="167">
        <v>95055</v>
      </c>
      <c r="G1180" s="165">
        <f t="shared" si="56"/>
        <v>3.0727331501535478</v>
      </c>
      <c r="H1180" s="165">
        <f t="shared" si="57"/>
        <v>0.95055000000000001</v>
      </c>
      <c r="I1180" s="81">
        <f>F1180/F1178</f>
        <v>1.2589946679036103E-2</v>
      </c>
    </row>
    <row r="1181" spans="1:9" s="17" customFormat="1" ht="16.5" customHeight="1" x14ac:dyDescent="0.2">
      <c r="A1181" s="182">
        <v>19595</v>
      </c>
      <c r="B1181" s="638" t="s">
        <v>172</v>
      </c>
      <c r="C1181" s="639"/>
      <c r="D1181" s="199">
        <v>200000</v>
      </c>
      <c r="E1181" s="417">
        <v>410000</v>
      </c>
      <c r="F1181" s="199">
        <v>409391.93</v>
      </c>
      <c r="G1181" s="170">
        <f t="shared" si="56"/>
        <v>2.0469596499999998</v>
      </c>
      <c r="H1181" s="170">
        <f t="shared" si="57"/>
        <v>0.99851690243902436</v>
      </c>
      <c r="I1181" s="52">
        <f>F1181/F1201</f>
        <v>2.9491171179609442E-2</v>
      </c>
    </row>
    <row r="1182" spans="1:9" s="17" customFormat="1" ht="16.5" customHeight="1" x14ac:dyDescent="0.2">
      <c r="A1182" s="182">
        <v>47019</v>
      </c>
      <c r="B1182" s="638" t="s">
        <v>70</v>
      </c>
      <c r="C1182" s="639"/>
      <c r="D1182" s="199">
        <v>1084008.1200000001</v>
      </c>
      <c r="E1182" s="417">
        <v>542500.26</v>
      </c>
      <c r="F1182" s="199">
        <v>532762.79</v>
      </c>
      <c r="G1182" s="170">
        <f t="shared" si="56"/>
        <v>0.49147490703298419</v>
      </c>
      <c r="H1182" s="170">
        <f t="shared" si="57"/>
        <v>0.9820507551461819</v>
      </c>
      <c r="I1182" s="52">
        <f>F1182/F1201</f>
        <v>3.8378378972971736E-2</v>
      </c>
    </row>
    <row r="1183" spans="1:9" s="17" customFormat="1" ht="16.5" customHeight="1" x14ac:dyDescent="0.2">
      <c r="A1183" s="182">
        <v>48019</v>
      </c>
      <c r="B1183" s="638" t="s">
        <v>71</v>
      </c>
      <c r="C1183" s="639"/>
      <c r="D1183" s="199">
        <v>271784</v>
      </c>
      <c r="E1183" s="199">
        <v>205990</v>
      </c>
      <c r="F1183" s="199">
        <v>205590</v>
      </c>
      <c r="G1183" s="170">
        <f t="shared" si="56"/>
        <v>0.75644629558767251</v>
      </c>
      <c r="H1183" s="170">
        <f t="shared" si="57"/>
        <v>0.99805815816301757</v>
      </c>
      <c r="I1183" s="52">
        <f>F1183/F1201</f>
        <v>1.4809988762640985E-2</v>
      </c>
    </row>
    <row r="1184" spans="1:9" s="17" customFormat="1" ht="16.5" customHeight="1" x14ac:dyDescent="0.2">
      <c r="A1184" s="182">
        <v>650</v>
      </c>
      <c r="B1184" s="638" t="s">
        <v>31</v>
      </c>
      <c r="C1184" s="639"/>
      <c r="D1184" s="185">
        <f>D1185+D1186</f>
        <v>0</v>
      </c>
      <c r="E1184" s="185">
        <f>E1185+E1186</f>
        <v>0</v>
      </c>
      <c r="F1184" s="185">
        <f>F1185+F1186</f>
        <v>0</v>
      </c>
      <c r="G1184" s="170" t="e">
        <f t="shared" si="56"/>
        <v>#DIV/0!</v>
      </c>
      <c r="H1184" s="170" t="e">
        <f t="shared" si="57"/>
        <v>#DIV/0!</v>
      </c>
      <c r="I1184" s="52">
        <f>F1184/F1201</f>
        <v>0</v>
      </c>
    </row>
    <row r="1185" spans="1:9" s="17" customFormat="1" ht="16.5" customHeight="1" x14ac:dyDescent="0.2">
      <c r="A1185" s="250">
        <v>65095</v>
      </c>
      <c r="B1185" s="648" t="s">
        <v>173</v>
      </c>
      <c r="C1185" s="649"/>
      <c r="D1185" s="167">
        <v>0</v>
      </c>
      <c r="E1185" s="167">
        <v>0</v>
      </c>
      <c r="F1185" s="167">
        <v>0</v>
      </c>
      <c r="G1185" s="165" t="e">
        <f t="shared" si="56"/>
        <v>#DIV/0!</v>
      </c>
      <c r="H1185" s="165" t="e">
        <f t="shared" si="57"/>
        <v>#DIV/0!</v>
      </c>
      <c r="I1185" s="81" t="e">
        <f>F1185/F1184</f>
        <v>#DIV/0!</v>
      </c>
    </row>
    <row r="1186" spans="1:9" s="17" customFormat="1" ht="16.5" customHeight="1" x14ac:dyDescent="0.2">
      <c r="A1186" s="250">
        <v>65495</v>
      </c>
      <c r="B1186" s="648" t="s">
        <v>174</v>
      </c>
      <c r="C1186" s="649"/>
      <c r="D1186" s="167">
        <v>0</v>
      </c>
      <c r="E1186" s="6">
        <v>0</v>
      </c>
      <c r="F1186" s="167">
        <v>0</v>
      </c>
      <c r="G1186" s="165" t="e">
        <f t="shared" si="56"/>
        <v>#DIV/0!</v>
      </c>
      <c r="H1186" s="165" t="e">
        <f t="shared" si="57"/>
        <v>#DIV/0!</v>
      </c>
      <c r="I1186" s="81" t="e">
        <f>F1186/F1184</f>
        <v>#DIV/0!</v>
      </c>
    </row>
    <row r="1187" spans="1:9" s="17" customFormat="1" ht="16.5" customHeight="1" x14ac:dyDescent="0.2">
      <c r="A1187" s="182">
        <v>66100</v>
      </c>
      <c r="B1187" s="638" t="s">
        <v>73</v>
      </c>
      <c r="C1187" s="639"/>
      <c r="D1187" s="199">
        <v>229991</v>
      </c>
      <c r="E1187" s="414">
        <v>180000</v>
      </c>
      <c r="F1187" s="199">
        <v>170675.53</v>
      </c>
      <c r="G1187" s="170">
        <f t="shared" si="56"/>
        <v>0.74209656030018567</v>
      </c>
      <c r="H1187" s="170">
        <f t="shared" si="57"/>
        <v>0.94819738888888894</v>
      </c>
      <c r="I1187" s="52">
        <f>F1187/F1201</f>
        <v>1.2294871741610945E-2</v>
      </c>
    </row>
    <row r="1188" spans="1:9" s="17" customFormat="1" ht="16.5" customHeight="1" x14ac:dyDescent="0.2">
      <c r="A1188" s="182"/>
      <c r="B1188" s="638" t="s">
        <v>74</v>
      </c>
      <c r="C1188" s="639"/>
      <c r="D1188" s="417">
        <f>D1189+D1190</f>
        <v>713720.17</v>
      </c>
      <c r="E1188" s="417">
        <f>E1189+E1190</f>
        <v>531880.76</v>
      </c>
      <c r="F1188" s="417">
        <f>F1189+F1190</f>
        <v>517667.05</v>
      </c>
      <c r="G1188" s="170">
        <f t="shared" si="56"/>
        <v>0.72530814142467059</v>
      </c>
      <c r="H1188" s="170">
        <f t="shared" si="57"/>
        <v>0.97327651032159912</v>
      </c>
      <c r="I1188" s="140">
        <f>F1188/F1201</f>
        <v>3.729093435132793E-2</v>
      </c>
    </row>
    <row r="1189" spans="1:9" s="17" customFormat="1" ht="16.5" customHeight="1" x14ac:dyDescent="0.2">
      <c r="A1189" s="250">
        <v>73028</v>
      </c>
      <c r="B1189" s="648" t="s">
        <v>175</v>
      </c>
      <c r="C1189" s="649"/>
      <c r="D1189" s="167">
        <f>0+0+0+0+0</f>
        <v>0</v>
      </c>
      <c r="E1189" s="6">
        <v>0</v>
      </c>
      <c r="F1189" s="167">
        <f>0+0+0+0+0</f>
        <v>0</v>
      </c>
      <c r="G1189" s="165" t="e">
        <f t="shared" si="56"/>
        <v>#DIV/0!</v>
      </c>
      <c r="H1189" s="165" t="e">
        <f t="shared" si="57"/>
        <v>#DIV/0!</v>
      </c>
      <c r="I1189" s="81">
        <f>F1189/F1188</f>
        <v>0</v>
      </c>
    </row>
    <row r="1190" spans="1:9" s="17" customFormat="1" ht="16.5" customHeight="1" x14ac:dyDescent="0.2">
      <c r="A1190" s="250">
        <v>74100</v>
      </c>
      <c r="B1190" s="648" t="s">
        <v>176</v>
      </c>
      <c r="C1190" s="649"/>
      <c r="D1190" s="167">
        <v>713720.17</v>
      </c>
      <c r="E1190" s="6">
        <v>531880.76</v>
      </c>
      <c r="F1190" s="167">
        <v>517667.05</v>
      </c>
      <c r="G1190" s="165">
        <f t="shared" si="56"/>
        <v>0.72530814142467059</v>
      </c>
      <c r="H1190" s="165">
        <f t="shared" si="57"/>
        <v>0.97327651032159912</v>
      </c>
      <c r="I1190" s="81">
        <f>F1190/F1188</f>
        <v>1</v>
      </c>
    </row>
    <row r="1191" spans="1:9" s="17" customFormat="1" ht="16.5" customHeight="1" x14ac:dyDescent="0.2">
      <c r="A1191" s="416">
        <v>75591</v>
      </c>
      <c r="B1191" s="638" t="s">
        <v>177</v>
      </c>
      <c r="C1191" s="639"/>
      <c r="D1191" s="185">
        <v>40246.400000000001</v>
      </c>
      <c r="E1191" s="185">
        <v>12000</v>
      </c>
      <c r="F1191" s="185">
        <v>11850</v>
      </c>
      <c r="G1191" s="170">
        <f t="shared" si="56"/>
        <v>0.29443627256102406</v>
      </c>
      <c r="H1191" s="170">
        <f t="shared" si="57"/>
        <v>0.98750000000000004</v>
      </c>
      <c r="I1191" s="52">
        <f>F1191/F1201</f>
        <v>8.5363279749645256E-4</v>
      </c>
    </row>
    <row r="1192" spans="1:9" s="17" customFormat="1" ht="16.5" customHeight="1" x14ac:dyDescent="0.2">
      <c r="A1192" s="416">
        <v>75592</v>
      </c>
      <c r="B1192" s="104" t="s">
        <v>545</v>
      </c>
      <c r="C1192" s="105"/>
      <c r="D1192" s="185">
        <v>198022.2</v>
      </c>
      <c r="E1192" s="185">
        <v>614274.77</v>
      </c>
      <c r="F1192" s="185">
        <v>571427.57999999996</v>
      </c>
      <c r="G1192" s="170">
        <f>F1192/D1192</f>
        <v>2.8856743334838213</v>
      </c>
      <c r="H1192" s="170">
        <f>F1192/E1192</f>
        <v>0.93024751773542635</v>
      </c>
      <c r="I1192" s="52">
        <f>F1192/F1201</f>
        <v>4.1163656006922185E-2</v>
      </c>
    </row>
    <row r="1193" spans="1:9" s="17" customFormat="1" ht="16.5" customHeight="1" x14ac:dyDescent="0.2">
      <c r="A1193" s="182">
        <v>85019</v>
      </c>
      <c r="B1193" s="638" t="s">
        <v>40</v>
      </c>
      <c r="C1193" s="639"/>
      <c r="D1193" s="185">
        <f>D1194+D1195</f>
        <v>917150.34</v>
      </c>
      <c r="E1193" s="185">
        <f t="shared" ref="E1193" si="59">E1194+E1195</f>
        <v>1293764.47</v>
      </c>
      <c r="F1193" s="185">
        <f>F1194+F1195</f>
        <v>1273319.3799999999</v>
      </c>
      <c r="G1193" s="170">
        <f t="shared" si="56"/>
        <v>1.3883431368514785</v>
      </c>
      <c r="H1193" s="170">
        <f t="shared" si="57"/>
        <v>0.98419720863102689</v>
      </c>
      <c r="I1193" s="52">
        <f>F1193/F1201</f>
        <v>9.1725500797961892E-2</v>
      </c>
    </row>
    <row r="1194" spans="1:9" s="17" customFormat="1" ht="16.5" customHeight="1" x14ac:dyDescent="0.2">
      <c r="A1194" s="216"/>
      <c r="B1194" s="389"/>
      <c r="C1194" s="373"/>
      <c r="D1194" s="6">
        <v>917150.34</v>
      </c>
      <c r="E1194" s="6">
        <v>1293764.47</v>
      </c>
      <c r="F1194" s="6">
        <v>1273319.3799999999</v>
      </c>
      <c r="G1194" s="165">
        <f>F1194/D1194</f>
        <v>1.3883431368514785</v>
      </c>
      <c r="H1194" s="165">
        <f>F1194/E1194</f>
        <v>0.98419720863102689</v>
      </c>
      <c r="I1194" s="81">
        <f>F1194/F1193</f>
        <v>1</v>
      </c>
    </row>
    <row r="1195" spans="1:9" s="17" customFormat="1" ht="16.5" customHeight="1" x14ac:dyDescent="0.2">
      <c r="A1195" s="216"/>
      <c r="B1195" s="648"/>
      <c r="C1195" s="649"/>
      <c r="D1195" s="6">
        <v>0</v>
      </c>
      <c r="E1195" s="6">
        <v>0</v>
      </c>
      <c r="F1195" s="6">
        <v>0</v>
      </c>
      <c r="G1195" s="165" t="e">
        <f>F1195/D1195</f>
        <v>#DIV/0!</v>
      </c>
      <c r="H1195" s="165" t="e">
        <f>F1195/E1195</f>
        <v>#DIV/0!</v>
      </c>
      <c r="I1195" s="81">
        <f>F1195/F1193</f>
        <v>0</v>
      </c>
    </row>
    <row r="1196" spans="1:9" s="17" customFormat="1" ht="16.5" customHeight="1" x14ac:dyDescent="0.2">
      <c r="A1196" s="182"/>
      <c r="B1196" s="638" t="s">
        <v>78</v>
      </c>
      <c r="C1196" s="639"/>
      <c r="D1196" s="185">
        <f>D1197+D1198+D1199+D1200</f>
        <v>1363593.62</v>
      </c>
      <c r="E1196" s="185">
        <f>E1197+E1198+E1199+E1200</f>
        <v>1370460.17</v>
      </c>
      <c r="F1196" s="185">
        <f>F1197+F1198+F1199+F1200</f>
        <v>1330407.6400000001</v>
      </c>
      <c r="G1196" s="170">
        <f t="shared" si="56"/>
        <v>0.97566285181064427</v>
      </c>
      <c r="H1196" s="170">
        <f t="shared" si="57"/>
        <v>0.9707743932463212</v>
      </c>
      <c r="I1196" s="52">
        <f>F1196/F1201</f>
        <v>9.5837940552223916E-2</v>
      </c>
    </row>
    <row r="1197" spans="1:9" s="17" customFormat="1" ht="16.5" customHeight="1" x14ac:dyDescent="0.2">
      <c r="A1197" s="250">
        <v>92095</v>
      </c>
      <c r="B1197" s="648" t="s">
        <v>178</v>
      </c>
      <c r="C1197" s="649"/>
      <c r="D1197" s="6">
        <v>685850.18</v>
      </c>
      <c r="E1197" s="6">
        <v>72143.77</v>
      </c>
      <c r="F1197" s="6">
        <v>69590</v>
      </c>
      <c r="G1197" s="165">
        <f t="shared" si="56"/>
        <v>0.10146530835641102</v>
      </c>
      <c r="H1197" s="165">
        <f t="shared" si="57"/>
        <v>0.96460165583251323</v>
      </c>
      <c r="I1197" s="81">
        <f>F1197/F1196</f>
        <v>5.2307276287138577E-2</v>
      </c>
    </row>
    <row r="1198" spans="1:9" s="17" customFormat="1" ht="16.5" customHeight="1" x14ac:dyDescent="0.2">
      <c r="A1198" s="250">
        <v>92570</v>
      </c>
      <c r="B1198" s="648" t="s">
        <v>179</v>
      </c>
      <c r="C1198" s="649"/>
      <c r="D1198" s="6">
        <f>0+0+0+0+0+0</f>
        <v>0</v>
      </c>
      <c r="E1198" s="6">
        <f>0+0+0</f>
        <v>0</v>
      </c>
      <c r="F1198" s="6">
        <f>0+0+0+0+0+0</f>
        <v>0</v>
      </c>
      <c r="G1198" s="165" t="e">
        <f t="shared" si="56"/>
        <v>#DIV/0!</v>
      </c>
      <c r="H1198" s="165" t="e">
        <f t="shared" si="57"/>
        <v>#DIV/0!</v>
      </c>
      <c r="I1198" s="81">
        <f>F1198/F1196</f>
        <v>0</v>
      </c>
    </row>
    <row r="1199" spans="1:9" s="17" customFormat="1" ht="16.5" customHeight="1" x14ac:dyDescent="0.2">
      <c r="A1199" s="250">
        <v>93540</v>
      </c>
      <c r="B1199" s="648" t="s">
        <v>180</v>
      </c>
      <c r="C1199" s="649"/>
      <c r="D1199" s="6">
        <v>467800.4</v>
      </c>
      <c r="E1199" s="6">
        <v>761636.4</v>
      </c>
      <c r="F1199" s="6">
        <v>724138.28</v>
      </c>
      <c r="G1199" s="165">
        <f t="shared" si="56"/>
        <v>1.5479642172174286</v>
      </c>
      <c r="H1199" s="165">
        <f t="shared" si="57"/>
        <v>0.95076637618685245</v>
      </c>
      <c r="I1199" s="81">
        <f>F1199/F1196</f>
        <v>0.54429804687531702</v>
      </c>
    </row>
    <row r="1200" spans="1:9" s="17" customFormat="1" ht="16.5" customHeight="1" x14ac:dyDescent="0.2">
      <c r="A1200" s="250">
        <v>94740</v>
      </c>
      <c r="B1200" s="648" t="s">
        <v>181</v>
      </c>
      <c r="C1200" s="649"/>
      <c r="D1200" s="6">
        <v>209943.04000000001</v>
      </c>
      <c r="E1200" s="228">
        <v>536680</v>
      </c>
      <c r="F1200" s="6">
        <v>536679.36</v>
      </c>
      <c r="G1200" s="165">
        <f t="shared" si="56"/>
        <v>2.5563093684839466</v>
      </c>
      <c r="H1200" s="165">
        <f t="shared" si="57"/>
        <v>0.99999880748304393</v>
      </c>
      <c r="I1200" s="81">
        <f>F1200/F1196</f>
        <v>0.40339467683754426</v>
      </c>
    </row>
    <row r="1201" spans="1:9" s="17" customFormat="1" ht="16.5" customHeight="1" x14ac:dyDescent="0.2">
      <c r="A1201" s="182"/>
      <c r="B1201" s="183" t="s">
        <v>83</v>
      </c>
      <c r="C1201" s="184"/>
      <c r="D1201" s="596">
        <f>D1169+D1170+D1174+D1175+D1176+D1177+D1178+D1181+D1182+D1183+D1184+D1187+D1188+D1191+D1192+D1193+D1196</f>
        <v>14592994.809999999</v>
      </c>
      <c r="E1201" s="596">
        <f>E1169+E1170+E1174+E1175+E1176+E1177+E1178+E1181+E1182+E1183+E1184+E1187+E1188+E1191+E1192+E1193+E1196</f>
        <v>14534056.75</v>
      </c>
      <c r="F1201" s="596">
        <f>F1169+F1170+F1174+F1175+F1176+F1177+F1178+F1181+F1182+F1183+F1184+F1187+F1188+F1191+F1192+F1193+F1196</f>
        <v>13881847.129999999</v>
      </c>
      <c r="G1201" s="170">
        <f t="shared" si="56"/>
        <v>0.95126787275270741</v>
      </c>
      <c r="H1201" s="170">
        <f t="shared" si="57"/>
        <v>0.95512542497812936</v>
      </c>
      <c r="I1201" s="52">
        <f>I1169+I1170+I1174+I1175+I1176+I1177+I1178+I1181+I1182+I1183+I1184+I1187+I1188+I1191+I1192+I1193+I1196</f>
        <v>1</v>
      </c>
    </row>
    <row r="1202" spans="1:9" s="17" customFormat="1" ht="16.5" customHeight="1" x14ac:dyDescent="0.2">
      <c r="A1202" s="260"/>
      <c r="B1202" s="220"/>
      <c r="C1202" s="266"/>
      <c r="D1202" s="266"/>
      <c r="E1202" s="222"/>
      <c r="F1202" s="267"/>
      <c r="G1202" s="267"/>
      <c r="H1202" s="15"/>
      <c r="I1202" s="15"/>
    </row>
    <row r="1203" spans="1:9" s="17" customFormat="1" ht="16.5" customHeight="1" x14ac:dyDescent="0.2">
      <c r="A1203" s="732" t="s">
        <v>1071</v>
      </c>
      <c r="B1203" s="732"/>
      <c r="C1203" s="732"/>
      <c r="D1203" s="732"/>
      <c r="E1203" s="732"/>
      <c r="F1203" s="732"/>
      <c r="G1203" s="732"/>
      <c r="H1203" s="732"/>
      <c r="I1203" s="732"/>
    </row>
    <row r="1204" spans="1:9" s="17" customFormat="1" ht="16.5" customHeight="1" x14ac:dyDescent="0.2">
      <c r="A1204" s="621" t="s">
        <v>446</v>
      </c>
      <c r="B1204" s="621"/>
      <c r="C1204" s="621"/>
      <c r="D1204" s="621"/>
      <c r="E1204" s="621"/>
      <c r="F1204" s="621"/>
      <c r="G1204" s="621"/>
      <c r="H1204" s="621"/>
      <c r="I1204" s="621"/>
    </row>
    <row r="1205" spans="1:9" s="17" customFormat="1" ht="16.5" customHeight="1" x14ac:dyDescent="0.2">
      <c r="A1205" s="145"/>
      <c r="B1205" s="621" t="s">
        <v>286</v>
      </c>
      <c r="C1205" s="621"/>
      <c r="D1205" s="145"/>
      <c r="E1205" s="145"/>
      <c r="F1205" s="145"/>
      <c r="G1205" s="145"/>
      <c r="H1205" s="145"/>
      <c r="I1205" s="142"/>
    </row>
    <row r="1206" spans="1:9" s="17" customFormat="1" ht="16.5" customHeight="1" x14ac:dyDescent="0.2">
      <c r="A1206" s="145"/>
      <c r="B1206" s="621" t="s">
        <v>289</v>
      </c>
      <c r="C1206" s="621"/>
      <c r="D1206" s="268">
        <f>I1196</f>
        <v>9.5837940552223916E-2</v>
      </c>
      <c r="E1206" s="269" t="s">
        <v>288</v>
      </c>
      <c r="F1206" s="270">
        <f>F1196</f>
        <v>1330407.6400000001</v>
      </c>
      <c r="G1206" s="145"/>
      <c r="H1206" s="145"/>
      <c r="I1206" s="142"/>
    </row>
    <row r="1207" spans="1:9" s="17" customFormat="1" ht="16.5" customHeight="1" x14ac:dyDescent="0.2">
      <c r="A1207" s="145"/>
      <c r="B1207" s="145" t="s">
        <v>287</v>
      </c>
      <c r="C1207" s="145"/>
      <c r="D1207" s="268">
        <f>I1177</f>
        <v>7.1937364721577954E-2</v>
      </c>
      <c r="E1207" s="269" t="s">
        <v>288</v>
      </c>
      <c r="F1207" s="270">
        <f>F1177</f>
        <v>998623.5</v>
      </c>
      <c r="G1207" s="145"/>
      <c r="H1207" s="145"/>
      <c r="I1207" s="142"/>
    </row>
    <row r="1208" spans="1:9" s="17" customFormat="1" ht="16.5" customHeight="1" x14ac:dyDescent="0.2">
      <c r="A1208" s="145"/>
      <c r="B1208" s="145" t="s">
        <v>554</v>
      </c>
      <c r="C1208" s="145"/>
      <c r="D1208" s="268">
        <f>I1182</f>
        <v>3.8378378972971736E-2</v>
      </c>
      <c r="E1208" s="269" t="s">
        <v>288</v>
      </c>
      <c r="F1208" s="270">
        <f>F1182</f>
        <v>532762.79</v>
      </c>
      <c r="G1208" s="145" t="s">
        <v>290</v>
      </c>
      <c r="H1208" s="145"/>
      <c r="I1208" s="142"/>
    </row>
    <row r="1209" spans="1:9" s="17" customFormat="1" ht="16.5" customHeight="1" x14ac:dyDescent="0.2">
      <c r="A1209" s="145"/>
      <c r="B1209" s="249" t="s">
        <v>722</v>
      </c>
      <c r="C1209" s="249"/>
      <c r="D1209" s="249"/>
      <c r="E1209" s="249"/>
      <c r="F1209" s="249"/>
      <c r="G1209" s="252"/>
      <c r="H1209" s="145"/>
      <c r="I1209" s="142"/>
    </row>
    <row r="1210" spans="1:9" s="17" customFormat="1" ht="16.5" customHeight="1" x14ac:dyDescent="0.2">
      <c r="A1210" s="145"/>
      <c r="B1210" s="621"/>
      <c r="C1210" s="621"/>
      <c r="D1210" s="268"/>
      <c r="E1210" s="269"/>
      <c r="F1210" s="270"/>
      <c r="G1210" s="145"/>
      <c r="H1210" s="145"/>
      <c r="I1210" s="142"/>
    </row>
    <row r="1211" spans="1:9" s="17" customFormat="1" ht="16.5" customHeight="1" x14ac:dyDescent="0.2">
      <c r="A1211" s="145"/>
      <c r="C1211" s="145"/>
      <c r="D1211" s="145"/>
      <c r="E1211" s="145"/>
      <c r="F1211" s="145"/>
      <c r="G1211" s="145"/>
      <c r="H1211" s="145"/>
      <c r="I1211" s="224"/>
    </row>
    <row r="1212" spans="1:9" s="17" customFormat="1" ht="16.5" customHeight="1" x14ac:dyDescent="0.2">
      <c r="A1212" s="145"/>
      <c r="C1212" s="145"/>
      <c r="D1212" s="145"/>
      <c r="E1212" s="145"/>
      <c r="F1212" s="145"/>
      <c r="G1212" s="145"/>
      <c r="H1212" s="145"/>
      <c r="I1212" s="224"/>
    </row>
    <row r="1213" spans="1:9" s="17" customFormat="1" ht="16.5" customHeight="1" x14ac:dyDescent="0.2">
      <c r="A1213" s="145"/>
      <c r="C1213" s="145"/>
      <c r="D1213" s="145"/>
      <c r="E1213" s="145"/>
      <c r="F1213" s="145"/>
      <c r="G1213" s="145"/>
      <c r="H1213" s="145"/>
      <c r="I1213" s="224"/>
    </row>
    <row r="1214" spans="1:9" s="17" customFormat="1" ht="16.5" customHeight="1" x14ac:dyDescent="0.2">
      <c r="A1214" s="145"/>
      <c r="C1214" s="145"/>
      <c r="D1214" s="145"/>
      <c r="E1214" s="145"/>
      <c r="F1214" s="145"/>
      <c r="G1214" s="145"/>
      <c r="H1214" s="145"/>
      <c r="I1214" s="224"/>
    </row>
    <row r="1215" spans="1:9" s="17" customFormat="1" ht="16.5" customHeight="1" x14ac:dyDescent="0.2">
      <c r="A1215" s="145"/>
      <c r="C1215" s="145"/>
      <c r="D1215" s="145"/>
      <c r="E1215" s="145"/>
      <c r="F1215" s="145"/>
      <c r="G1215" s="145"/>
      <c r="H1215" s="145"/>
      <c r="I1215" s="224"/>
    </row>
    <row r="1216" spans="1:9" s="17" customFormat="1" ht="16.5" customHeight="1" x14ac:dyDescent="0.2">
      <c r="A1216" s="145"/>
      <c r="C1216" s="145"/>
      <c r="D1216" s="145"/>
      <c r="E1216" s="145"/>
      <c r="F1216" s="145"/>
      <c r="G1216" s="145"/>
      <c r="H1216" s="145"/>
      <c r="I1216" s="257">
        <v>21</v>
      </c>
    </row>
    <row r="1217" spans="1:9" s="17" customFormat="1" ht="16.5" customHeight="1" x14ac:dyDescent="0.2">
      <c r="A1217" s="145"/>
      <c r="B1217" s="145"/>
      <c r="C1217" s="145"/>
      <c r="D1217" s="145"/>
      <c r="E1217" s="145"/>
      <c r="F1217" s="145"/>
      <c r="G1217" s="145"/>
      <c r="H1217" s="145"/>
      <c r="I1217" s="145"/>
    </row>
    <row r="1218" spans="1:9" s="17" customFormat="1" ht="16.5" customHeight="1" x14ac:dyDescent="0.2">
      <c r="A1218" s="145"/>
      <c r="B1218" s="621" t="s">
        <v>385</v>
      </c>
      <c r="C1218" s="621"/>
      <c r="D1218" s="621"/>
      <c r="E1218" s="621"/>
      <c r="F1218" s="621"/>
      <c r="G1218" s="621"/>
      <c r="H1218" s="621"/>
      <c r="I1218" s="621"/>
    </row>
    <row r="1219" spans="1:9" s="17" customFormat="1" ht="16.5" customHeight="1" x14ac:dyDescent="0.2">
      <c r="A1219" s="621" t="s">
        <v>447</v>
      </c>
      <c r="B1219" s="621"/>
      <c r="C1219" s="621"/>
      <c r="D1219" s="621"/>
      <c r="E1219" s="621"/>
      <c r="F1219" s="621"/>
      <c r="G1219" s="621"/>
      <c r="H1219" s="621"/>
      <c r="I1219" s="621"/>
    </row>
    <row r="1220" spans="1:9" s="17" customFormat="1" ht="16.5" customHeight="1" x14ac:dyDescent="0.2">
      <c r="A1220" s="145"/>
      <c r="B1220" s="145"/>
      <c r="C1220" s="145"/>
      <c r="D1220" s="145"/>
      <c r="E1220" s="605" t="s">
        <v>84</v>
      </c>
      <c r="F1220" s="145"/>
      <c r="G1220" s="145"/>
      <c r="H1220" s="145"/>
      <c r="I1220" s="224"/>
    </row>
    <row r="1221" spans="1:9" s="17" customFormat="1" ht="16.5" customHeight="1" x14ac:dyDescent="0.2">
      <c r="A1221" s="224"/>
      <c r="B1221" s="247"/>
      <c r="C1221" s="15"/>
      <c r="D1221" s="156"/>
      <c r="E1221" s="606"/>
      <c r="F1221" s="156"/>
      <c r="G1221" s="224"/>
      <c r="H1221" s="156"/>
      <c r="I1221" s="156"/>
    </row>
    <row r="1222" spans="1:9" s="17" customFormat="1" ht="16.5" customHeight="1" x14ac:dyDescent="0.2">
      <c r="A1222" s="192" t="s">
        <v>48</v>
      </c>
      <c r="B1222" s="615" t="s">
        <v>49</v>
      </c>
      <c r="C1222" s="616"/>
      <c r="D1222" s="411" t="s">
        <v>85</v>
      </c>
      <c r="E1222" s="409" t="s">
        <v>152</v>
      </c>
      <c r="F1222" s="42" t="s">
        <v>86</v>
      </c>
      <c r="G1222" s="619" t="s">
        <v>52</v>
      </c>
      <c r="H1222" s="620"/>
      <c r="I1222" s="613" t="s">
        <v>53</v>
      </c>
    </row>
    <row r="1223" spans="1:9" s="17" customFormat="1" ht="12" customHeight="1" x14ac:dyDescent="0.2">
      <c r="A1223" s="193" t="s">
        <v>87</v>
      </c>
      <c r="B1223" s="617"/>
      <c r="C1223" s="618"/>
      <c r="D1223" s="412" t="s">
        <v>537</v>
      </c>
      <c r="E1223" s="44" t="s">
        <v>571</v>
      </c>
      <c r="F1223" s="44" t="s">
        <v>571</v>
      </c>
      <c r="G1223" s="29" t="s">
        <v>55</v>
      </c>
      <c r="H1223" s="29" t="s">
        <v>56</v>
      </c>
      <c r="I1223" s="614"/>
    </row>
    <row r="1224" spans="1:9" s="17" customFormat="1" ht="12" customHeight="1" x14ac:dyDescent="0.2">
      <c r="A1224" s="109">
        <v>1</v>
      </c>
      <c r="B1224" s="646">
        <v>2</v>
      </c>
      <c r="C1224" s="647"/>
      <c r="D1224" s="271">
        <v>3</v>
      </c>
      <c r="E1224" s="271">
        <v>4</v>
      </c>
      <c r="F1224" s="271">
        <v>5</v>
      </c>
      <c r="G1224" s="271">
        <v>6</v>
      </c>
      <c r="H1224" s="271">
        <v>7</v>
      </c>
      <c r="I1224" s="109">
        <v>8</v>
      </c>
    </row>
    <row r="1225" spans="1:9" s="17" customFormat="1" ht="16.5" customHeight="1" x14ac:dyDescent="0.2">
      <c r="A1225" s="262">
        <v>3110</v>
      </c>
      <c r="B1225" s="638" t="s">
        <v>291</v>
      </c>
      <c r="C1225" s="639"/>
      <c r="D1225" s="185">
        <f>D1226+D1227+D1228+D1229+D1230+D1231+D1232+D1233+D1234+D1235+D1236+D1237</f>
        <v>2222909.73</v>
      </c>
      <c r="E1225" s="185">
        <f>E1226+E1227+E1228+E1229+E1230+E1231+E1232+E1233+E1234+E1235+E1236+E1237</f>
        <v>3507500</v>
      </c>
      <c r="F1225" s="185">
        <f>F1226+F1227+F1228+F1229+F1230+F1231+F1232+F1233+F1234+F1235+F1236+F1237</f>
        <v>3644474.83</v>
      </c>
      <c r="G1225" s="170">
        <f t="shared" ref="G1225:G1257" si="60">F1225/D1225</f>
        <v>1.6395064454551649</v>
      </c>
      <c r="H1225" s="155">
        <f t="shared" ref="H1225:H1256" si="61">F1225/E1225</f>
        <v>1.039051982893799</v>
      </c>
      <c r="I1225" s="155">
        <f>F1225/F1289</f>
        <v>0.26253529489774752</v>
      </c>
    </row>
    <row r="1226" spans="1:9" s="17" customFormat="1" ht="16.5" customHeight="1" x14ac:dyDescent="0.2">
      <c r="A1226" s="86">
        <v>31110</v>
      </c>
      <c r="B1226" s="708" t="s">
        <v>292</v>
      </c>
      <c r="C1226" s="709"/>
      <c r="D1226" s="6">
        <v>277794.96000000002</v>
      </c>
      <c r="E1226" s="497">
        <f>150000+200000+50000+230000</f>
        <v>630000</v>
      </c>
      <c r="F1226" s="6">
        <v>169099.74</v>
      </c>
      <c r="G1226" s="91">
        <f t="shared" si="60"/>
        <v>0.60872141092840548</v>
      </c>
      <c r="H1226" s="92">
        <f t="shared" si="61"/>
        <v>0.26841228571428571</v>
      </c>
      <c r="I1226" s="92">
        <f>F1226/F1225</f>
        <v>4.6398932051343045E-2</v>
      </c>
    </row>
    <row r="1227" spans="1:9" s="17" customFormat="1" ht="16.5" customHeight="1" x14ac:dyDescent="0.2">
      <c r="A1227" s="86">
        <v>31120</v>
      </c>
      <c r="B1227" s="708" t="s">
        <v>293</v>
      </c>
      <c r="C1227" s="709"/>
      <c r="D1227" s="6">
        <v>75226.179999999993</v>
      </c>
      <c r="E1227" s="497">
        <f>50000+75000+80000</f>
        <v>205000</v>
      </c>
      <c r="F1227" s="6">
        <v>317454</v>
      </c>
      <c r="G1227" s="91">
        <f t="shared" si="60"/>
        <v>4.2199936245599607</v>
      </c>
      <c r="H1227" s="92">
        <f t="shared" si="61"/>
        <v>1.5485560975609756</v>
      </c>
      <c r="I1227" s="92">
        <f>F1227/F1225</f>
        <v>8.7105554245246353E-2</v>
      </c>
    </row>
    <row r="1228" spans="1:9" s="17" customFormat="1" ht="17.25" customHeight="1" x14ac:dyDescent="0.2">
      <c r="A1228" s="86">
        <v>31121</v>
      </c>
      <c r="B1228" s="708" t="s">
        <v>620</v>
      </c>
      <c r="C1228" s="709"/>
      <c r="D1228" s="6">
        <v>627785.04</v>
      </c>
      <c r="E1228" s="497">
        <f>300000+61626+338374</f>
        <v>700000</v>
      </c>
      <c r="F1228" s="6">
        <v>743269.16</v>
      </c>
      <c r="G1228" s="91">
        <f t="shared" si="60"/>
        <v>1.1839548772936672</v>
      </c>
      <c r="H1228" s="92">
        <f t="shared" si="61"/>
        <v>1.0618130857142858</v>
      </c>
      <c r="I1228" s="92">
        <f>F1228/F1225</f>
        <v>0.2039441057135796</v>
      </c>
    </row>
    <row r="1229" spans="1:9" s="17" customFormat="1" ht="16.5" customHeight="1" x14ac:dyDescent="0.2">
      <c r="A1229" s="86">
        <v>31122</v>
      </c>
      <c r="B1229" s="708" t="s">
        <v>621</v>
      </c>
      <c r="C1229" s="709"/>
      <c r="D1229" s="6">
        <v>440911.83</v>
      </c>
      <c r="E1229" s="497">
        <f>150000+60000</f>
        <v>210000</v>
      </c>
      <c r="F1229" s="6">
        <v>347892.05</v>
      </c>
      <c r="G1229" s="91">
        <f t="shared" si="60"/>
        <v>0.78902861372533362</v>
      </c>
      <c r="H1229" s="92">
        <f t="shared" si="61"/>
        <v>1.6566288095238095</v>
      </c>
      <c r="I1229" s="92">
        <f>F1229/F1225</f>
        <v>9.5457388575242261E-2</v>
      </c>
    </row>
    <row r="1230" spans="1:9" s="17" customFormat="1" ht="16.5" customHeight="1" x14ac:dyDescent="0.2">
      <c r="A1230" s="86">
        <v>31123</v>
      </c>
      <c r="B1230" s="708" t="s">
        <v>294</v>
      </c>
      <c r="C1230" s="709"/>
      <c r="D1230" s="6">
        <v>114575.2</v>
      </c>
      <c r="E1230" s="497">
        <v>0</v>
      </c>
      <c r="F1230" s="6">
        <f>308953.5-19600</f>
        <v>289353.5</v>
      </c>
      <c r="G1230" s="91">
        <f t="shared" si="60"/>
        <v>2.5254461698517656</v>
      </c>
      <c r="H1230" s="92" t="e">
        <f t="shared" si="61"/>
        <v>#DIV/0!</v>
      </c>
      <c r="I1230" s="92">
        <f>F1230/F1225</f>
        <v>7.9395115482249048E-2</v>
      </c>
    </row>
    <row r="1231" spans="1:9" s="17" customFormat="1" ht="16.5" customHeight="1" x14ac:dyDescent="0.2">
      <c r="A1231" s="86">
        <v>31124</v>
      </c>
      <c r="B1231" s="708" t="s">
        <v>295</v>
      </c>
      <c r="C1231" s="709"/>
      <c r="D1231" s="6">
        <v>420225.17</v>
      </c>
      <c r="E1231" s="497">
        <f>233401+66599+30000+50000+175000+25000+175000+25000</f>
        <v>780000</v>
      </c>
      <c r="F1231" s="6">
        <v>1116154.3799999999</v>
      </c>
      <c r="G1231" s="91">
        <f t="shared" si="60"/>
        <v>2.6560864500334427</v>
      </c>
      <c r="H1231" s="92">
        <f t="shared" si="61"/>
        <v>1.4309671538461537</v>
      </c>
      <c r="I1231" s="92">
        <f>F1231/F1225</f>
        <v>0.30625931912390236</v>
      </c>
    </row>
    <row r="1232" spans="1:9" s="17" customFormat="1" ht="16.5" customHeight="1" x14ac:dyDescent="0.2">
      <c r="A1232" s="86">
        <v>31125</v>
      </c>
      <c r="B1232" s="708" t="s">
        <v>622</v>
      </c>
      <c r="C1232" s="709"/>
      <c r="D1232" s="6">
        <v>87360</v>
      </c>
      <c r="E1232" s="497">
        <f>40000</f>
        <v>40000</v>
      </c>
      <c r="F1232" s="6">
        <v>139000</v>
      </c>
      <c r="G1232" s="91">
        <f t="shared" si="60"/>
        <v>1.591117216117216</v>
      </c>
      <c r="H1232" s="92">
        <f t="shared" si="61"/>
        <v>3.4750000000000001</v>
      </c>
      <c r="I1232" s="92">
        <f>F1232/F1225</f>
        <v>3.8139925910806741E-2</v>
      </c>
    </row>
    <row r="1233" spans="1:9" s="17" customFormat="1" ht="16.5" customHeight="1" x14ac:dyDescent="0.2">
      <c r="A1233" s="86">
        <v>31126</v>
      </c>
      <c r="B1233" s="708" t="s">
        <v>623</v>
      </c>
      <c r="C1233" s="709"/>
      <c r="D1233" s="6">
        <v>165349.45000000001</v>
      </c>
      <c r="E1233" s="497">
        <f>130000</f>
        <v>130000</v>
      </c>
      <c r="F1233" s="6">
        <v>129999</v>
      </c>
      <c r="G1233" s="91">
        <f t="shared" si="60"/>
        <v>0.78620763480011568</v>
      </c>
      <c r="H1233" s="92">
        <f t="shared" si="61"/>
        <v>0.99999230769230774</v>
      </c>
      <c r="I1233" s="92">
        <f>F1233/F1225</f>
        <v>3.5670159917114863E-2</v>
      </c>
    </row>
    <row r="1234" spans="1:9" s="17" customFormat="1" ht="16.5" customHeight="1" x14ac:dyDescent="0.2">
      <c r="A1234" s="86">
        <v>31127</v>
      </c>
      <c r="B1234" s="134" t="s">
        <v>546</v>
      </c>
      <c r="C1234" s="135"/>
      <c r="D1234" s="6">
        <v>13681.9</v>
      </c>
      <c r="E1234" s="497">
        <f>672500</f>
        <v>672500</v>
      </c>
      <c r="F1234" s="6">
        <v>6227.8</v>
      </c>
      <c r="G1234" s="91">
        <f t="shared" si="60"/>
        <v>0.45518531782866417</v>
      </c>
      <c r="H1234" s="92">
        <f t="shared" si="61"/>
        <v>9.2606691449814132E-3</v>
      </c>
      <c r="I1234" s="92">
        <f>F1234/F1225</f>
        <v>1.7088333135778578E-3</v>
      </c>
    </row>
    <row r="1235" spans="1:9" s="17" customFormat="1" ht="16.5" customHeight="1" x14ac:dyDescent="0.2">
      <c r="A1235" s="86">
        <v>31129</v>
      </c>
      <c r="B1235" s="134" t="s">
        <v>601</v>
      </c>
      <c r="C1235" s="135"/>
      <c r="D1235" s="6">
        <v>0</v>
      </c>
      <c r="E1235" s="497">
        <v>70000</v>
      </c>
      <c r="F1235" s="6">
        <v>0</v>
      </c>
      <c r="G1235" s="91" t="e">
        <f t="shared" si="60"/>
        <v>#DIV/0!</v>
      </c>
      <c r="H1235" s="92">
        <f t="shared" si="61"/>
        <v>0</v>
      </c>
      <c r="I1235" s="92">
        <f>F1235/F1225</f>
        <v>0</v>
      </c>
    </row>
    <row r="1236" spans="1:9" s="17" customFormat="1" ht="16.5" customHeight="1" x14ac:dyDescent="0.2">
      <c r="A1236" s="86">
        <v>31130</v>
      </c>
      <c r="B1236" s="708" t="s">
        <v>296</v>
      </c>
      <c r="C1236" s="709"/>
      <c r="D1236" s="6">
        <f>0+0+0+0+0</f>
        <v>0</v>
      </c>
      <c r="E1236" s="497">
        <v>70000</v>
      </c>
      <c r="F1236" s="6">
        <f>0+0+0+0+0</f>
        <v>0</v>
      </c>
      <c r="G1236" s="91" t="e">
        <f>F1236/D1236</f>
        <v>#DIV/0!</v>
      </c>
      <c r="H1236" s="92">
        <f>F1236/E1236</f>
        <v>0</v>
      </c>
      <c r="I1236" s="92">
        <f>F1236/F1225</f>
        <v>0</v>
      </c>
    </row>
    <row r="1237" spans="1:9" s="17" customFormat="1" ht="16.5" customHeight="1" x14ac:dyDescent="0.2">
      <c r="A1237" s="86">
        <v>31136</v>
      </c>
      <c r="B1237" s="134" t="s">
        <v>602</v>
      </c>
      <c r="C1237" s="135"/>
      <c r="D1237" s="6">
        <v>0</v>
      </c>
      <c r="E1237" s="497">
        <v>0</v>
      </c>
      <c r="F1237" s="6">
        <v>386025.2</v>
      </c>
      <c r="G1237" s="91" t="e">
        <f>F1237/D1237</f>
        <v>#DIV/0!</v>
      </c>
      <c r="H1237" s="92" t="e">
        <f>F1237/E1237</f>
        <v>#DIV/0!</v>
      </c>
      <c r="I1237" s="92">
        <f>F1237/F1225</f>
        <v>0.10592066566693781</v>
      </c>
    </row>
    <row r="1238" spans="1:9" s="17" customFormat="1" ht="16.5" customHeight="1" x14ac:dyDescent="0.2">
      <c r="A1238" s="168">
        <v>3120</v>
      </c>
      <c r="B1238" s="638" t="s">
        <v>297</v>
      </c>
      <c r="C1238" s="639"/>
      <c r="D1238" s="185">
        <f>D1239+D1241+D1242+D1243+D1244+D1245</f>
        <v>6388786.1799999997</v>
      </c>
      <c r="E1238" s="185">
        <f>E1239+E1241+E1242+E1243+E1244+E1245</f>
        <v>6981271</v>
      </c>
      <c r="F1238" s="185">
        <f>F1239+F1240+F1241+F1242+F1243+F1244+F1245</f>
        <v>5441075.0599999996</v>
      </c>
      <c r="G1238" s="170">
        <f t="shared" si="60"/>
        <v>0.85166022256828755</v>
      </c>
      <c r="H1238" s="155">
        <f t="shared" si="61"/>
        <v>0.77938172862792454</v>
      </c>
      <c r="I1238" s="155">
        <f>F1238/F1289</f>
        <v>0.39195612867982932</v>
      </c>
    </row>
    <row r="1239" spans="1:9" s="17" customFormat="1" ht="16.5" customHeight="1" x14ac:dyDescent="0.2">
      <c r="A1239" s="272">
        <v>31210</v>
      </c>
      <c r="B1239" s="708" t="s">
        <v>298</v>
      </c>
      <c r="C1239" s="709"/>
      <c r="D1239" s="6">
        <f>0+0+0+0+0</f>
        <v>0</v>
      </c>
      <c r="E1239" s="6">
        <f>0+0+0</f>
        <v>0</v>
      </c>
      <c r="F1239" s="6">
        <f>0+0+0+0+0</f>
        <v>0</v>
      </c>
      <c r="G1239" s="91" t="e">
        <f t="shared" si="60"/>
        <v>#DIV/0!</v>
      </c>
      <c r="H1239" s="92" t="e">
        <f t="shared" si="61"/>
        <v>#DIV/0!</v>
      </c>
      <c r="I1239" s="97">
        <f>F1239/F1238</f>
        <v>0</v>
      </c>
    </row>
    <row r="1240" spans="1:9" s="17" customFormat="1" ht="16.5" customHeight="1" x14ac:dyDescent="0.2">
      <c r="A1240" s="272">
        <v>31220</v>
      </c>
      <c r="B1240" s="134" t="s">
        <v>469</v>
      </c>
      <c r="C1240" s="135"/>
      <c r="D1240" s="6">
        <v>0</v>
      </c>
      <c r="E1240" s="6">
        <v>0</v>
      </c>
      <c r="F1240" s="6">
        <v>0</v>
      </c>
      <c r="G1240" s="91" t="e">
        <f t="shared" si="60"/>
        <v>#DIV/0!</v>
      </c>
      <c r="H1240" s="92" t="e">
        <f t="shared" si="61"/>
        <v>#DIV/0!</v>
      </c>
      <c r="I1240" s="97">
        <f>F1240/F1238</f>
        <v>0</v>
      </c>
    </row>
    <row r="1241" spans="1:9" s="17" customFormat="1" ht="17.25" customHeight="1" x14ac:dyDescent="0.2">
      <c r="A1241" s="86">
        <v>31230</v>
      </c>
      <c r="B1241" s="708" t="s">
        <v>299</v>
      </c>
      <c r="C1241" s="709"/>
      <c r="D1241" s="6">
        <v>4991630.8899999997</v>
      </c>
      <c r="E1241" s="497">
        <f>110000+150000+80000+130000+160000+500000+300000+400000+150000+200000+250000+665983+1134017+150000+160000+50000+50000+330000+42000+30000</f>
        <v>5042000</v>
      </c>
      <c r="F1241" s="6">
        <f>3995936.86-23537.98</f>
        <v>3972398.88</v>
      </c>
      <c r="G1241" s="91">
        <f t="shared" si="60"/>
        <v>0.7958118233377629</v>
      </c>
      <c r="H1241" s="92">
        <f t="shared" si="61"/>
        <v>0.78786173740579135</v>
      </c>
      <c r="I1241" s="92">
        <f>F1241/F1238</f>
        <v>0.73007610374704157</v>
      </c>
    </row>
    <row r="1242" spans="1:9" s="17" customFormat="1" ht="16.5" customHeight="1" x14ac:dyDescent="0.2">
      <c r="A1242" s="86">
        <v>31240</v>
      </c>
      <c r="B1242" s="273" t="s">
        <v>300</v>
      </c>
      <c r="C1242" s="23"/>
      <c r="D1242" s="6">
        <v>199255.18</v>
      </c>
      <c r="E1242" s="497">
        <f>250000+250000+150000+30000</f>
        <v>680000</v>
      </c>
      <c r="F1242" s="6">
        <v>950598.5</v>
      </c>
      <c r="G1242" s="91">
        <f t="shared" si="60"/>
        <v>4.7707592846519722</v>
      </c>
      <c r="H1242" s="92">
        <f t="shared" si="61"/>
        <v>1.3979389705882352</v>
      </c>
      <c r="I1242" s="92">
        <f>F1242/F1238</f>
        <v>0.17470784532790476</v>
      </c>
    </row>
    <row r="1243" spans="1:9" s="17" customFormat="1" ht="16.5" customHeight="1" x14ac:dyDescent="0.2">
      <c r="A1243" s="86">
        <v>31250</v>
      </c>
      <c r="B1243" s="708" t="s">
        <v>624</v>
      </c>
      <c r="C1243" s="709"/>
      <c r="D1243" s="6">
        <v>30300</v>
      </c>
      <c r="E1243" s="497">
        <f>176374+23626+150000+179271</f>
        <v>529271</v>
      </c>
      <c r="F1243" s="6">
        <f>369914.88-42990</f>
        <v>326924.88</v>
      </c>
      <c r="G1243" s="91">
        <f t="shared" si="60"/>
        <v>10.7896</v>
      </c>
      <c r="H1243" s="92">
        <f t="shared" si="61"/>
        <v>0.61768900997787524</v>
      </c>
      <c r="I1243" s="92">
        <f>F1243/F1238</f>
        <v>6.0084611293710039E-2</v>
      </c>
    </row>
    <row r="1244" spans="1:9" s="17" customFormat="1" ht="16.5" customHeight="1" x14ac:dyDescent="0.2">
      <c r="A1244" s="86">
        <v>31260</v>
      </c>
      <c r="B1244" s="708" t="s">
        <v>625</v>
      </c>
      <c r="C1244" s="709"/>
      <c r="D1244" s="6">
        <v>1167600.1100000001</v>
      </c>
      <c r="E1244" s="497">
        <f>400000+300000+30000</f>
        <v>730000</v>
      </c>
      <c r="F1244" s="6">
        <f>222055.21-30902.41</f>
        <v>191152.8</v>
      </c>
      <c r="G1244" s="91">
        <f t="shared" si="60"/>
        <v>0.16371427029070765</v>
      </c>
      <c r="H1244" s="92">
        <f t="shared" si="61"/>
        <v>0.26185315068493148</v>
      </c>
      <c r="I1244" s="92">
        <f>F1244/F1238</f>
        <v>3.5131439631343735E-2</v>
      </c>
    </row>
    <row r="1245" spans="1:9" s="17" customFormat="1" ht="16.5" customHeight="1" x14ac:dyDescent="0.2">
      <c r="A1245" s="86">
        <v>31270</v>
      </c>
      <c r="B1245" s="708" t="s">
        <v>301</v>
      </c>
      <c r="C1245" s="709"/>
      <c r="D1245" s="6">
        <v>0</v>
      </c>
      <c r="E1245" s="497">
        <v>0</v>
      </c>
      <c r="F1245" s="6">
        <v>0</v>
      </c>
      <c r="G1245" s="91" t="e">
        <f>F1245/D1245</f>
        <v>#DIV/0!</v>
      </c>
      <c r="H1245" s="92" t="e">
        <f t="shared" si="61"/>
        <v>#DIV/0!</v>
      </c>
      <c r="I1245" s="92">
        <f>F1245/F1238</f>
        <v>0</v>
      </c>
    </row>
    <row r="1246" spans="1:9" s="17" customFormat="1" ht="16.5" customHeight="1" x14ac:dyDescent="0.2">
      <c r="A1246" s="168">
        <v>3150</v>
      </c>
      <c r="B1246" s="638" t="s">
        <v>386</v>
      </c>
      <c r="C1246" s="639"/>
      <c r="D1246" s="185">
        <f>D1247</f>
        <v>0</v>
      </c>
      <c r="E1246" s="185">
        <f>E1247</f>
        <v>12000</v>
      </c>
      <c r="F1246" s="185">
        <f>F1247</f>
        <v>11850</v>
      </c>
      <c r="G1246" s="170" t="e">
        <f t="shared" si="60"/>
        <v>#DIV/0!</v>
      </c>
      <c r="H1246" s="155" t="e">
        <f>F1246/E1245</f>
        <v>#DIV/0!</v>
      </c>
      <c r="I1246" s="155">
        <f>F1246/F1289</f>
        <v>8.5363279749645245E-4</v>
      </c>
    </row>
    <row r="1247" spans="1:9" s="17" customFormat="1" ht="16.5" customHeight="1" x14ac:dyDescent="0.2">
      <c r="A1247" s="86">
        <v>31510</v>
      </c>
      <c r="B1247" s="648" t="s">
        <v>626</v>
      </c>
      <c r="C1247" s="649"/>
      <c r="D1247" s="167">
        <f>0+0+0+0+0</f>
        <v>0</v>
      </c>
      <c r="E1247" s="6">
        <v>12000</v>
      </c>
      <c r="F1247" s="167">
        <v>11850</v>
      </c>
      <c r="G1247" s="91" t="e">
        <f t="shared" si="60"/>
        <v>#DIV/0!</v>
      </c>
      <c r="H1247" s="92">
        <f t="shared" si="61"/>
        <v>0.98750000000000004</v>
      </c>
      <c r="I1247" s="92">
        <f>F1247/F1246</f>
        <v>1</v>
      </c>
    </row>
    <row r="1248" spans="1:9" s="17" customFormat="1" ht="16.5" customHeight="1" x14ac:dyDescent="0.2">
      <c r="A1248" s="168">
        <v>3160</v>
      </c>
      <c r="B1248" s="638" t="s">
        <v>302</v>
      </c>
      <c r="C1248" s="639"/>
      <c r="D1248" s="185">
        <f>D1249+D1250+D1251+D1252+D1253+D1254+D1255</f>
        <v>298640.8</v>
      </c>
      <c r="E1248" s="185">
        <f>E1249+E1250+E1251+E1252+E1253+E1254+E1255+E1256</f>
        <v>240000</v>
      </c>
      <c r="F1248" s="185">
        <f>F1249+F1250+F1251+F1252+F1253+F1254+F1255+F1256</f>
        <v>252030.64</v>
      </c>
      <c r="G1248" s="170">
        <f t="shared" si="60"/>
        <v>0.84392567927758033</v>
      </c>
      <c r="H1248" s="155">
        <f t="shared" si="61"/>
        <v>1.0501276666666668</v>
      </c>
      <c r="I1248" s="155">
        <f>F1248/F1289</f>
        <v>1.8155410993925848E-2</v>
      </c>
    </row>
    <row r="1249" spans="1:9" s="17" customFormat="1" ht="17.25" customHeight="1" x14ac:dyDescent="0.2">
      <c r="A1249" s="111">
        <v>31610</v>
      </c>
      <c r="B1249" s="708" t="s">
        <v>303</v>
      </c>
      <c r="C1249" s="709"/>
      <c r="D1249" s="6">
        <v>7472.7</v>
      </c>
      <c r="E1249" s="497">
        <v>0</v>
      </c>
      <c r="F1249" s="6">
        <v>0</v>
      </c>
      <c r="G1249" s="91">
        <f t="shared" si="60"/>
        <v>0</v>
      </c>
      <c r="H1249" s="92" t="e">
        <f t="shared" si="61"/>
        <v>#DIV/0!</v>
      </c>
      <c r="I1249" s="166">
        <f>F1249/F1248</f>
        <v>0</v>
      </c>
    </row>
    <row r="1250" spans="1:9" s="17" customFormat="1" ht="16.5" customHeight="1" x14ac:dyDescent="0.2">
      <c r="A1250" s="86">
        <v>31620</v>
      </c>
      <c r="B1250" s="708" t="s">
        <v>304</v>
      </c>
      <c r="C1250" s="709"/>
      <c r="D1250" s="6">
        <v>31838</v>
      </c>
      <c r="E1250" s="497">
        <v>30000</v>
      </c>
      <c r="F1250" s="6">
        <v>0</v>
      </c>
      <c r="G1250" s="91">
        <f t="shared" si="60"/>
        <v>0</v>
      </c>
      <c r="H1250" s="92">
        <f t="shared" si="61"/>
        <v>0</v>
      </c>
      <c r="I1250" s="92">
        <f>F1250/F1248</f>
        <v>0</v>
      </c>
    </row>
    <row r="1251" spans="1:9" s="17" customFormat="1" ht="17.25" customHeight="1" x14ac:dyDescent="0.2">
      <c r="A1251" s="86">
        <v>31640</v>
      </c>
      <c r="B1251" s="708" t="s">
        <v>305</v>
      </c>
      <c r="C1251" s="709"/>
      <c r="D1251" s="6">
        <v>0</v>
      </c>
      <c r="E1251" s="497">
        <f>50000</f>
        <v>50000</v>
      </c>
      <c r="F1251" s="6">
        <v>45505.04</v>
      </c>
      <c r="G1251" s="91" t="e">
        <f t="shared" si="60"/>
        <v>#DIV/0!</v>
      </c>
      <c r="H1251" s="92">
        <f t="shared" si="61"/>
        <v>0.91010080000000004</v>
      </c>
      <c r="I1251" s="92">
        <f>F1251/F1248</f>
        <v>0.18055360253023203</v>
      </c>
    </row>
    <row r="1252" spans="1:9" s="17" customFormat="1" ht="16.5" customHeight="1" x14ac:dyDescent="0.2">
      <c r="A1252" s="86">
        <v>31650</v>
      </c>
      <c r="B1252" s="708" t="s">
        <v>306</v>
      </c>
      <c r="C1252" s="709"/>
      <c r="D1252" s="6">
        <f>0</f>
        <v>0</v>
      </c>
      <c r="E1252" s="497">
        <v>0</v>
      </c>
      <c r="F1252" s="6">
        <f>0</f>
        <v>0</v>
      </c>
      <c r="G1252" s="91" t="e">
        <f t="shared" si="60"/>
        <v>#DIV/0!</v>
      </c>
      <c r="H1252" s="92" t="e">
        <f t="shared" si="61"/>
        <v>#DIV/0!</v>
      </c>
      <c r="I1252" s="92">
        <f>F1252/F1248</f>
        <v>0</v>
      </c>
    </row>
    <row r="1253" spans="1:9" s="17" customFormat="1" ht="16.5" customHeight="1" x14ac:dyDescent="0.2">
      <c r="A1253" s="86">
        <v>31660</v>
      </c>
      <c r="B1253" s="708" t="s">
        <v>627</v>
      </c>
      <c r="C1253" s="709"/>
      <c r="D1253" s="6">
        <v>73980</v>
      </c>
      <c r="E1253" s="497">
        <f>60000</f>
        <v>60000</v>
      </c>
      <c r="F1253" s="6">
        <v>63775</v>
      </c>
      <c r="G1253" s="91">
        <f t="shared" si="60"/>
        <v>0.86205731278723985</v>
      </c>
      <c r="H1253" s="92">
        <f t="shared" si="61"/>
        <v>1.0629166666666667</v>
      </c>
      <c r="I1253" s="92">
        <f>F1253/F1248</f>
        <v>0.25304462981167686</v>
      </c>
    </row>
    <row r="1254" spans="1:9" s="17" customFormat="1" ht="16.5" customHeight="1" x14ac:dyDescent="0.2">
      <c r="A1254" s="86">
        <v>31680</v>
      </c>
      <c r="B1254" s="708" t="s">
        <v>307</v>
      </c>
      <c r="C1254" s="709"/>
      <c r="D1254" s="6">
        <v>0</v>
      </c>
      <c r="E1254" s="497">
        <v>0</v>
      </c>
      <c r="F1254" s="6">
        <v>0</v>
      </c>
      <c r="G1254" s="91" t="e">
        <f t="shared" si="60"/>
        <v>#DIV/0!</v>
      </c>
      <c r="H1254" s="92" t="e">
        <f t="shared" si="61"/>
        <v>#DIV/0!</v>
      </c>
      <c r="I1254" s="92">
        <f>F1254/F1248</f>
        <v>0</v>
      </c>
    </row>
    <row r="1255" spans="1:9" s="17" customFormat="1" ht="16.5" customHeight="1" x14ac:dyDescent="0.2">
      <c r="A1255" s="86">
        <v>31690</v>
      </c>
      <c r="B1255" s="708" t="s">
        <v>308</v>
      </c>
      <c r="C1255" s="709"/>
      <c r="D1255" s="6">
        <v>185350.1</v>
      </c>
      <c r="E1255" s="497">
        <f>100000</f>
        <v>100000</v>
      </c>
      <c r="F1255" s="6">
        <v>142750.6</v>
      </c>
      <c r="G1255" s="91">
        <f t="shared" si="60"/>
        <v>0.77016737514573774</v>
      </c>
      <c r="H1255" s="92">
        <f t="shared" si="61"/>
        <v>1.4275060000000002</v>
      </c>
      <c r="I1255" s="92">
        <f>F1255/F1248</f>
        <v>0.56640176765809114</v>
      </c>
    </row>
    <row r="1256" spans="1:9" s="17" customFormat="1" ht="16.5" customHeight="1" x14ac:dyDescent="0.2">
      <c r="A1256" s="86">
        <v>31695</v>
      </c>
      <c r="B1256" s="134" t="s">
        <v>520</v>
      </c>
      <c r="C1256" s="135"/>
      <c r="D1256" s="6">
        <v>0</v>
      </c>
      <c r="E1256" s="497">
        <v>0</v>
      </c>
      <c r="F1256" s="6">
        <v>0</v>
      </c>
      <c r="G1256" s="91" t="e">
        <f t="shared" si="60"/>
        <v>#DIV/0!</v>
      </c>
      <c r="H1256" s="92" t="e">
        <f t="shared" si="61"/>
        <v>#DIV/0!</v>
      </c>
      <c r="I1256" s="92">
        <f>F1256/F1248</f>
        <v>0</v>
      </c>
    </row>
    <row r="1257" spans="1:9" s="17" customFormat="1" ht="16.5" customHeight="1" x14ac:dyDescent="0.2">
      <c r="A1257" s="168">
        <v>3170</v>
      </c>
      <c r="B1257" s="183" t="s">
        <v>309</v>
      </c>
      <c r="C1257" s="274"/>
      <c r="D1257" s="185">
        <f>D1258+D1259+D1261+D1262</f>
        <v>165860</v>
      </c>
      <c r="E1257" s="185">
        <f>E1258+E1259+E1260+E1262</f>
        <v>250000</v>
      </c>
      <c r="F1257" s="185">
        <f>F1258+F1259+F1260+F1261+F1262</f>
        <v>90800</v>
      </c>
      <c r="G1257" s="170">
        <f t="shared" si="60"/>
        <v>0.54744965633666953</v>
      </c>
      <c r="H1257" s="155">
        <f>F1257/E1257</f>
        <v>0.36320000000000002</v>
      </c>
      <c r="I1257" s="155">
        <f>F1257/F1289</f>
        <v>6.5409162879896945E-3</v>
      </c>
    </row>
    <row r="1258" spans="1:9" s="17" customFormat="1" ht="16.5" customHeight="1" x14ac:dyDescent="0.2">
      <c r="A1258" s="162">
        <v>31700</v>
      </c>
      <c r="B1258" s="275" t="s">
        <v>310</v>
      </c>
      <c r="C1258" s="276"/>
      <c r="D1258" s="6">
        <v>165860</v>
      </c>
      <c r="E1258" s="6">
        <v>190000</v>
      </c>
      <c r="F1258" s="6">
        <v>0</v>
      </c>
      <c r="G1258" s="166">
        <f>F1258/E1258</f>
        <v>0</v>
      </c>
      <c r="H1258" s="122">
        <f>F1258/F1257</f>
        <v>0</v>
      </c>
      <c r="I1258" s="122">
        <f>F1258/F1257</f>
        <v>0</v>
      </c>
    </row>
    <row r="1259" spans="1:9" s="17" customFormat="1" ht="16.5" customHeight="1" x14ac:dyDescent="0.2">
      <c r="A1259" s="86">
        <v>31701</v>
      </c>
      <c r="B1259" s="708" t="s">
        <v>628</v>
      </c>
      <c r="C1259" s="709"/>
      <c r="D1259" s="6">
        <f>0+0+0</f>
        <v>0</v>
      </c>
      <c r="E1259" s="6">
        <v>0</v>
      </c>
      <c r="F1259" s="6">
        <v>38900</v>
      </c>
      <c r="G1259" s="166" t="e">
        <f>F1259/E1259</f>
        <v>#DIV/0!</v>
      </c>
      <c r="H1259" s="122">
        <f>F1259/F1259</f>
        <v>1</v>
      </c>
      <c r="I1259" s="92">
        <f>F1259/F1257</f>
        <v>0.42841409691629956</v>
      </c>
    </row>
    <row r="1260" spans="1:9" s="17" customFormat="1" ht="17.25" customHeight="1" x14ac:dyDescent="0.2">
      <c r="A1260" s="86">
        <v>31702</v>
      </c>
      <c r="B1260" s="134" t="s">
        <v>505</v>
      </c>
      <c r="C1260" s="135"/>
      <c r="D1260" s="6">
        <v>0</v>
      </c>
      <c r="E1260" s="6">
        <v>60000</v>
      </c>
      <c r="F1260" s="6">
        <v>11900</v>
      </c>
      <c r="G1260" s="166">
        <f>F1260/E1260</f>
        <v>0.19833333333333333</v>
      </c>
      <c r="H1260" s="122">
        <f>F1260/F1260</f>
        <v>1</v>
      </c>
      <c r="I1260" s="92">
        <f>F1260/F1257</f>
        <v>0.13105726872246695</v>
      </c>
    </row>
    <row r="1261" spans="1:9" s="17" customFormat="1" ht="16.5" customHeight="1" x14ac:dyDescent="0.2">
      <c r="A1261" s="86">
        <v>31703</v>
      </c>
      <c r="B1261" s="708" t="s">
        <v>311</v>
      </c>
      <c r="C1261" s="709"/>
      <c r="D1261" s="6">
        <f>0+0+0</f>
        <v>0</v>
      </c>
      <c r="E1261" s="6">
        <v>0</v>
      </c>
      <c r="F1261" s="6">
        <v>40000</v>
      </c>
      <c r="G1261" s="166" t="e">
        <f>F1261/E1261</f>
        <v>#DIV/0!</v>
      </c>
      <c r="H1261" s="122">
        <f>F1261/F1261</f>
        <v>1</v>
      </c>
      <c r="I1261" s="92">
        <f>F1261/F1257</f>
        <v>0.44052863436123346</v>
      </c>
    </row>
    <row r="1262" spans="1:9" s="17" customFormat="1" ht="16.5" customHeight="1" x14ac:dyDescent="0.2">
      <c r="A1262" s="86">
        <v>31706</v>
      </c>
      <c r="B1262" s="708" t="s">
        <v>312</v>
      </c>
      <c r="C1262" s="709"/>
      <c r="D1262" s="6">
        <v>0</v>
      </c>
      <c r="E1262" s="6">
        <v>0</v>
      </c>
      <c r="F1262" s="6">
        <v>0</v>
      </c>
      <c r="G1262" s="166" t="e">
        <f>F1262/E1262</f>
        <v>#DIV/0!</v>
      </c>
      <c r="H1262" s="122" t="e">
        <f>F1262/F1262</f>
        <v>#DIV/0!</v>
      </c>
      <c r="I1262" s="92">
        <f>F1262/F1257</f>
        <v>0</v>
      </c>
    </row>
    <row r="1263" spans="1:9" s="17" customFormat="1" ht="16.5" customHeight="1" x14ac:dyDescent="0.2">
      <c r="A1263" s="168">
        <v>3190</v>
      </c>
      <c r="B1263" s="638" t="s">
        <v>313</v>
      </c>
      <c r="C1263" s="639"/>
      <c r="D1263" s="185">
        <f>D1264+D1265</f>
        <v>0</v>
      </c>
      <c r="E1263" s="185">
        <f>E1264+E1265</f>
        <v>0</v>
      </c>
      <c r="F1263" s="185">
        <f>F1264+F1265</f>
        <v>0</v>
      </c>
      <c r="G1263" s="170">
        <f>F1267/D1267</f>
        <v>0.26783653435430244</v>
      </c>
      <c r="H1263" s="155" t="e">
        <f>F1263/E1263</f>
        <v>#DIV/0!</v>
      </c>
      <c r="I1263" s="155">
        <f>F1263/F1289</f>
        <v>0</v>
      </c>
    </row>
    <row r="1264" spans="1:9" s="17" customFormat="1" ht="16.5" customHeight="1" x14ac:dyDescent="0.2">
      <c r="A1264" s="272">
        <v>31900</v>
      </c>
      <c r="B1264" s="648" t="s">
        <v>313</v>
      </c>
      <c r="C1264" s="649"/>
      <c r="D1264" s="6">
        <f>0+0+0+0+0</f>
        <v>0</v>
      </c>
      <c r="E1264" s="6">
        <f>0+0+0</f>
        <v>0</v>
      </c>
      <c r="F1264" s="6">
        <f>0+0+0+0+0</f>
        <v>0</v>
      </c>
      <c r="G1264" s="91">
        <f>F1268/D1268</f>
        <v>0.39873223881404901</v>
      </c>
      <c r="H1264" s="92" t="e">
        <f>F1267/E1267</f>
        <v>#DIV/0!</v>
      </c>
      <c r="I1264" s="92" t="e">
        <f>F1264/F1263</f>
        <v>#DIV/0!</v>
      </c>
    </row>
    <row r="1265" spans="1:15" s="17" customFormat="1" ht="16.5" customHeight="1" x14ac:dyDescent="0.2">
      <c r="A1265" s="272">
        <v>31910</v>
      </c>
      <c r="B1265" s="740" t="s">
        <v>314</v>
      </c>
      <c r="C1265" s="741"/>
      <c r="D1265" s="6">
        <f>0+0+0+0+0</f>
        <v>0</v>
      </c>
      <c r="E1265" s="6">
        <f>0+0+0</f>
        <v>0</v>
      </c>
      <c r="F1265" s="6">
        <f>0+0+0+0+0</f>
        <v>0</v>
      </c>
      <c r="G1265" s="91">
        <f>F1272/D1272</f>
        <v>0</v>
      </c>
      <c r="H1265" s="92">
        <f>F1268/E1268</f>
        <v>0.7690126508932883</v>
      </c>
      <c r="I1265" s="92" t="e">
        <f>F1265/F1263</f>
        <v>#DIV/0!</v>
      </c>
    </row>
    <row r="1266" spans="1:15" s="17" customFormat="1" ht="17.25" customHeight="1" x14ac:dyDescent="0.2">
      <c r="A1266" s="168">
        <v>3210</v>
      </c>
      <c r="B1266" s="638" t="s">
        <v>315</v>
      </c>
      <c r="C1266" s="639"/>
      <c r="D1266" s="185">
        <f>D1267+D1268+D1269+D1270</f>
        <v>2730032.23</v>
      </c>
      <c r="E1266" s="185">
        <f>E1267+E1268</f>
        <v>1035500</v>
      </c>
      <c r="F1266" s="185">
        <f>F1267+F1268+F1269+F1270+F1271</f>
        <v>1323565.3599999999</v>
      </c>
      <c r="G1266" s="170">
        <f>F1266/D1266</f>
        <v>0.48481675251137962</v>
      </c>
      <c r="H1266" s="155">
        <f>F1266/E1266</f>
        <v>1.2781896281989376</v>
      </c>
      <c r="I1266" s="155">
        <f>F1266/F1289</f>
        <v>9.5345046491662366E-2</v>
      </c>
    </row>
    <row r="1267" spans="1:15" s="17" customFormat="1" ht="16.5" customHeight="1" x14ac:dyDescent="0.2">
      <c r="A1267" s="86">
        <v>32100</v>
      </c>
      <c r="B1267" s="708" t="s">
        <v>629</v>
      </c>
      <c r="C1267" s="709"/>
      <c r="D1267" s="6">
        <v>706539.16</v>
      </c>
      <c r="E1267" s="6">
        <v>0</v>
      </c>
      <c r="F1267" s="6">
        <v>189237</v>
      </c>
      <c r="G1267" s="91">
        <f t="shared" ref="G1267:G1271" si="62">F1273/D1273</f>
        <v>0</v>
      </c>
      <c r="H1267" s="92" t="e">
        <f>F1273/E1273</f>
        <v>#DIV/0!</v>
      </c>
      <c r="I1267" s="92">
        <f>F1267/F1266</f>
        <v>0.14297518333359829</v>
      </c>
    </row>
    <row r="1268" spans="1:15" s="17" customFormat="1" ht="16.5" customHeight="1" x14ac:dyDescent="0.2">
      <c r="A1268" s="86">
        <v>32110</v>
      </c>
      <c r="B1268" s="708" t="s">
        <v>630</v>
      </c>
      <c r="C1268" s="709"/>
      <c r="D1268" s="6">
        <v>1997111.15</v>
      </c>
      <c r="E1268" s="6">
        <v>1035500</v>
      </c>
      <c r="F1268" s="6">
        <v>796312.6</v>
      </c>
      <c r="G1268" s="91">
        <f t="shared" si="62"/>
        <v>1.2300829556600847</v>
      </c>
      <c r="H1268" s="92" t="e">
        <f>F1274/E1274</f>
        <v>#DIV/0!</v>
      </c>
      <c r="I1268" s="92">
        <f>F1268/F1266</f>
        <v>0.60164206775553575</v>
      </c>
    </row>
    <row r="1269" spans="1:15" s="17" customFormat="1" ht="16.5" customHeight="1" x14ac:dyDescent="0.2">
      <c r="A1269" s="86">
        <v>32111</v>
      </c>
      <c r="B1269" s="134" t="s">
        <v>555</v>
      </c>
      <c r="C1269" s="135"/>
      <c r="D1269" s="6">
        <v>2031.92</v>
      </c>
      <c r="E1269" s="6">
        <v>0</v>
      </c>
      <c r="F1269" s="6">
        <v>268015.76</v>
      </c>
      <c r="G1269" s="91" t="e">
        <f t="shared" si="62"/>
        <v>#DIV/0!</v>
      </c>
      <c r="H1269" s="92" t="e">
        <f>F1275/E1275</f>
        <v>#DIV/0!</v>
      </c>
      <c r="I1269" s="92">
        <f>F1269/F1266</f>
        <v>0.20249529649219591</v>
      </c>
    </row>
    <row r="1270" spans="1:15" s="17" customFormat="1" ht="16.5" customHeight="1" x14ac:dyDescent="0.2">
      <c r="A1270" s="86">
        <v>32120</v>
      </c>
      <c r="B1270" s="134" t="s">
        <v>556</v>
      </c>
      <c r="C1270" s="135"/>
      <c r="D1270" s="6">
        <v>24350</v>
      </c>
      <c r="E1270" s="6">
        <v>0</v>
      </c>
      <c r="F1270" s="6">
        <v>0</v>
      </c>
      <c r="G1270" s="91" t="e">
        <f t="shared" si="62"/>
        <v>#DIV/0!</v>
      </c>
      <c r="H1270" s="92" t="e">
        <f>F1276/E1276</f>
        <v>#DIV/0!</v>
      </c>
      <c r="I1270" s="92">
        <f>F1270/F1266</f>
        <v>0</v>
      </c>
    </row>
    <row r="1271" spans="1:15" s="17" customFormat="1" ht="16.5" customHeight="1" x14ac:dyDescent="0.2">
      <c r="A1271" s="86">
        <v>32140</v>
      </c>
      <c r="B1271" s="134" t="s">
        <v>603</v>
      </c>
      <c r="C1271" s="135"/>
      <c r="D1271" s="6">
        <v>0</v>
      </c>
      <c r="E1271" s="6">
        <v>0</v>
      </c>
      <c r="F1271" s="6">
        <v>70000</v>
      </c>
      <c r="G1271" s="91" t="e">
        <f t="shared" si="62"/>
        <v>#DIV/0!</v>
      </c>
      <c r="H1271" s="92" t="e">
        <f>F1277/E1277</f>
        <v>#DIV/0!</v>
      </c>
      <c r="I1271" s="92">
        <f>F1271/F1266</f>
        <v>5.2887452418670135E-2</v>
      </c>
    </row>
    <row r="1272" spans="1:15" s="17" customFormat="1" ht="17.25" customHeight="1" x14ac:dyDescent="0.2">
      <c r="A1272" s="168">
        <v>3320</v>
      </c>
      <c r="B1272" s="638" t="s">
        <v>316</v>
      </c>
      <c r="C1272" s="639"/>
      <c r="D1272" s="185">
        <f>D1273</f>
        <v>251935.82</v>
      </c>
      <c r="E1272" s="185">
        <f>E1273</f>
        <v>0</v>
      </c>
      <c r="F1272" s="185">
        <f>F1273</f>
        <v>0</v>
      </c>
      <c r="G1272" s="170">
        <f>F1272/D1272</f>
        <v>0</v>
      </c>
      <c r="H1272" s="155" t="e">
        <f>F1272/E1272</f>
        <v>#DIV/0!</v>
      </c>
      <c r="I1272" s="155">
        <f>F1272/F1289</f>
        <v>0</v>
      </c>
    </row>
    <row r="1273" spans="1:15" s="17" customFormat="1" ht="16.5" customHeight="1" x14ac:dyDescent="0.2">
      <c r="A1273" s="111">
        <v>33200</v>
      </c>
      <c r="B1273" s="648" t="s">
        <v>316</v>
      </c>
      <c r="C1273" s="649"/>
      <c r="D1273" s="6">
        <v>251935.82</v>
      </c>
      <c r="E1273" s="6">
        <f>0+0</f>
        <v>0</v>
      </c>
      <c r="F1273" s="6">
        <v>0</v>
      </c>
      <c r="G1273" s="165">
        <f>F1273/D1273</f>
        <v>0</v>
      </c>
      <c r="H1273" s="92">
        <f>F1285/E1285</f>
        <v>0</v>
      </c>
      <c r="I1273" s="166" t="e">
        <f>F1273/F1272</f>
        <v>#DIV/0!</v>
      </c>
    </row>
    <row r="1274" spans="1:15" s="17" customFormat="1" ht="16.5" customHeight="1" x14ac:dyDescent="0.25">
      <c r="A1274" s="168">
        <v>3400</v>
      </c>
      <c r="B1274" s="638" t="s">
        <v>279</v>
      </c>
      <c r="C1274" s="639"/>
      <c r="D1274" s="185">
        <f>D1283+D1284</f>
        <v>2534830.0499999998</v>
      </c>
      <c r="E1274" s="185">
        <f>E1283+E1284</f>
        <v>0</v>
      </c>
      <c r="F1274" s="185">
        <f>F1283+F1284</f>
        <v>3118051.24</v>
      </c>
      <c r="G1274" s="170">
        <f>F1274/D1274</f>
        <v>1.2300829556600847</v>
      </c>
      <c r="H1274" s="155" t="e">
        <f>F1274/E1274</f>
        <v>#DIV/0!</v>
      </c>
      <c r="I1274" s="155">
        <f>F1274/F1289</f>
        <v>0.22461356985134873</v>
      </c>
      <c r="K1274"/>
      <c r="L1274"/>
      <c r="M1274"/>
      <c r="N1274"/>
      <c r="O1274"/>
    </row>
    <row r="1275" spans="1:15" s="17" customFormat="1" ht="17.25" customHeight="1" x14ac:dyDescent="0.25">
      <c r="A1275" s="201"/>
      <c r="B1275" s="205"/>
      <c r="C1275" s="205"/>
      <c r="D1275" s="203"/>
      <c r="E1275" s="203"/>
      <c r="F1275" s="203"/>
      <c r="G1275" s="222"/>
      <c r="H1275" s="223"/>
      <c r="I1275" s="223"/>
      <c r="K1275"/>
      <c r="L1275"/>
      <c r="M1275"/>
      <c r="N1275"/>
      <c r="O1275"/>
    </row>
    <row r="1276" spans="1:15" s="17" customFormat="1" ht="16.5" customHeight="1" x14ac:dyDescent="0.25">
      <c r="A1276" s="201"/>
      <c r="B1276" s="205"/>
      <c r="C1276" s="205"/>
      <c r="D1276" s="203"/>
      <c r="E1276" s="203"/>
      <c r="F1276" s="203"/>
      <c r="G1276" s="222"/>
      <c r="H1276" s="223"/>
      <c r="I1276" s="223"/>
      <c r="K1276"/>
      <c r="L1276"/>
      <c r="M1276"/>
      <c r="N1276"/>
      <c r="O1276"/>
    </row>
    <row r="1277" spans="1:15" s="17" customFormat="1" ht="16.5" customHeight="1" x14ac:dyDescent="0.25">
      <c r="A1277" s="201"/>
      <c r="B1277" s="205"/>
      <c r="C1277" s="205"/>
      <c r="D1277" s="203"/>
      <c r="E1277" s="203"/>
      <c r="F1277" s="203"/>
      <c r="G1277" s="222"/>
      <c r="H1277" s="223"/>
      <c r="I1277" s="223"/>
      <c r="K1277"/>
      <c r="L1277"/>
      <c r="M1277"/>
      <c r="N1277"/>
      <c r="O1277"/>
    </row>
    <row r="1278" spans="1:15" s="17" customFormat="1" ht="16.5" customHeight="1" x14ac:dyDescent="0.25">
      <c r="A1278" s="201"/>
      <c r="B1278" s="205"/>
      <c r="C1278" s="205"/>
      <c r="D1278" s="203"/>
      <c r="E1278" s="203"/>
      <c r="F1278" s="203"/>
      <c r="G1278" s="222"/>
      <c r="H1278" s="223"/>
      <c r="I1278" s="223"/>
      <c r="K1278"/>
      <c r="L1278"/>
      <c r="M1278"/>
      <c r="N1278"/>
      <c r="O1278"/>
    </row>
    <row r="1279" spans="1:15" s="17" customFormat="1" ht="16.5" customHeight="1" x14ac:dyDescent="0.25">
      <c r="A1279" s="201"/>
      <c r="B1279" s="205"/>
      <c r="C1279" s="205"/>
      <c r="D1279" s="203"/>
      <c r="E1279" s="203"/>
      <c r="F1279" s="203"/>
      <c r="G1279" s="222"/>
      <c r="H1279" s="223"/>
      <c r="I1279" s="223"/>
      <c r="K1279"/>
      <c r="L1279"/>
      <c r="M1279"/>
      <c r="N1279"/>
      <c r="O1279"/>
    </row>
    <row r="1280" spans="1:15" s="17" customFormat="1" ht="16.5" customHeight="1" x14ac:dyDescent="0.25">
      <c r="A1280" s="201"/>
      <c r="B1280" s="205"/>
      <c r="C1280" s="205"/>
      <c r="D1280" s="203"/>
      <c r="E1280" s="203"/>
      <c r="F1280" s="203"/>
      <c r="G1280" s="222"/>
      <c r="H1280" s="223"/>
      <c r="I1280" s="223"/>
      <c r="K1280"/>
      <c r="L1280"/>
      <c r="M1280"/>
      <c r="N1280"/>
      <c r="O1280"/>
    </row>
    <row r="1281" spans="1:15" s="17" customFormat="1" ht="16.5" customHeight="1" x14ac:dyDescent="0.25">
      <c r="A1281" s="201"/>
      <c r="B1281" s="205"/>
      <c r="C1281" s="205"/>
      <c r="D1281" s="203"/>
      <c r="E1281" s="203"/>
      <c r="F1281" s="203"/>
      <c r="G1281" s="222"/>
      <c r="H1281" s="223"/>
      <c r="I1281" s="223"/>
      <c r="K1281"/>
      <c r="L1281"/>
      <c r="M1281"/>
      <c r="N1281"/>
      <c r="O1281"/>
    </row>
    <row r="1282" spans="1:15" s="17" customFormat="1" ht="16.5" customHeight="1" x14ac:dyDescent="0.25">
      <c r="I1282" s="304"/>
      <c r="K1282"/>
      <c r="L1282"/>
      <c r="M1282"/>
      <c r="N1282"/>
      <c r="O1282"/>
    </row>
    <row r="1283" spans="1:15" s="17" customFormat="1" ht="16.5" customHeight="1" x14ac:dyDescent="0.25">
      <c r="A1283" s="86">
        <v>34000</v>
      </c>
      <c r="B1283" s="708" t="s">
        <v>279</v>
      </c>
      <c r="C1283" s="709"/>
      <c r="D1283" s="6">
        <v>2534830.0499999998</v>
      </c>
      <c r="E1283" s="6">
        <v>0</v>
      </c>
      <c r="F1283" s="6">
        <f>3918706.96-800655.72</f>
        <v>3118051.24</v>
      </c>
      <c r="G1283" s="91">
        <f>F1283/D1283</f>
        <v>1.2300829556600847</v>
      </c>
      <c r="H1283" s="92">
        <f>F1287/E1287</f>
        <v>0</v>
      </c>
      <c r="I1283" s="92">
        <f>F1283/F1274</f>
        <v>1</v>
      </c>
      <c r="K1283"/>
      <c r="L1283"/>
      <c r="M1283"/>
      <c r="N1283"/>
      <c r="O1283"/>
    </row>
    <row r="1284" spans="1:15" s="17" customFormat="1" ht="16.5" customHeight="1" x14ac:dyDescent="0.25">
      <c r="A1284" s="86">
        <v>34100</v>
      </c>
      <c r="B1284" s="134" t="s">
        <v>317</v>
      </c>
      <c r="C1284" s="135"/>
      <c r="D1284" s="6">
        <v>0</v>
      </c>
      <c r="E1284" s="6">
        <v>0</v>
      </c>
      <c r="F1284" s="6">
        <v>0</v>
      </c>
      <c r="G1284" s="91" t="e">
        <f>F1284/D1284</f>
        <v>#DIV/0!</v>
      </c>
      <c r="H1284" s="92">
        <f>F1289/E1289</f>
        <v>0.95512542497812947</v>
      </c>
      <c r="I1284" s="92">
        <f>F1284/F1274</f>
        <v>0</v>
      </c>
      <c r="K1284"/>
      <c r="L1284"/>
      <c r="M1284"/>
      <c r="N1284"/>
      <c r="O1284"/>
    </row>
    <row r="1285" spans="1:15" s="17" customFormat="1" ht="16.5" customHeight="1" x14ac:dyDescent="0.2">
      <c r="A1285" s="86"/>
      <c r="B1285" s="694" t="s">
        <v>273</v>
      </c>
      <c r="C1285" s="695"/>
      <c r="D1285" s="6">
        <v>0</v>
      </c>
      <c r="E1285" s="107">
        <f>E1121</f>
        <v>1544253.41</v>
      </c>
      <c r="F1285" s="6">
        <v>0</v>
      </c>
      <c r="G1285" s="91">
        <v>0</v>
      </c>
      <c r="H1285" s="92">
        <v>0</v>
      </c>
      <c r="I1285" s="92">
        <v>0</v>
      </c>
    </row>
    <row r="1286" spans="1:15" s="17" customFormat="1" ht="16.5" customHeight="1" x14ac:dyDescent="0.2">
      <c r="A1286" s="86"/>
      <c r="B1286" s="694" t="s">
        <v>191</v>
      </c>
      <c r="C1286" s="695"/>
      <c r="D1286" s="6">
        <v>0</v>
      </c>
      <c r="E1286" s="107">
        <f>E1122</f>
        <v>25472.300000000003</v>
      </c>
      <c r="F1286" s="6">
        <v>0</v>
      </c>
      <c r="G1286" s="91">
        <v>0</v>
      </c>
      <c r="H1286" s="92">
        <v>0</v>
      </c>
      <c r="I1286" s="92">
        <v>0</v>
      </c>
    </row>
    <row r="1287" spans="1:15" s="17" customFormat="1" ht="16.5" customHeight="1" x14ac:dyDescent="0.2">
      <c r="A1287" s="86"/>
      <c r="B1287" s="694" t="s">
        <v>274</v>
      </c>
      <c r="C1287" s="695"/>
      <c r="D1287" s="6">
        <v>0</v>
      </c>
      <c r="E1287" s="107">
        <f>E1123</f>
        <v>938060.03999999992</v>
      </c>
      <c r="F1287" s="6">
        <v>0</v>
      </c>
      <c r="G1287" s="91">
        <v>0</v>
      </c>
      <c r="H1287" s="92">
        <v>0</v>
      </c>
      <c r="I1287" s="92">
        <v>0</v>
      </c>
    </row>
    <row r="1288" spans="1:15" s="17" customFormat="1" ht="16.5" customHeight="1" x14ac:dyDescent="0.2">
      <c r="A1288" s="263"/>
      <c r="B1288" s="694" t="s">
        <v>160</v>
      </c>
      <c r="C1288" s="695"/>
      <c r="D1288" s="167">
        <v>0</v>
      </c>
      <c r="E1288" s="167"/>
      <c r="F1288" s="167">
        <v>0</v>
      </c>
      <c r="G1288" s="91">
        <v>0</v>
      </c>
      <c r="H1288" s="92">
        <v>0</v>
      </c>
      <c r="I1288" s="277">
        <v>0</v>
      </c>
    </row>
    <row r="1289" spans="1:15" s="17" customFormat="1" ht="16.5" customHeight="1" x14ac:dyDescent="0.2">
      <c r="A1289" s="146"/>
      <c r="B1289" s="638" t="s">
        <v>83</v>
      </c>
      <c r="C1289" s="639"/>
      <c r="D1289" s="417">
        <f>D1225+D1238+D1246+D1248+D1257+D1263+D1266+D1272+D1274+D1285+D1286+D1287+D1288</f>
        <v>14592994.810000002</v>
      </c>
      <c r="E1289" s="417">
        <f>E1225+E1238+E1246+E1248+E1257+E1263+E1266+E1272+E1274+E1285+E1286+E1287+E1288</f>
        <v>14534056.75</v>
      </c>
      <c r="F1289" s="417">
        <f>F1225+F1238+F1246+F1248+F1257+F1263+F1266+F1272+F1274</f>
        <v>13881847.130000001</v>
      </c>
      <c r="G1289" s="200">
        <f>F1289/D1289</f>
        <v>0.9512678727527073</v>
      </c>
      <c r="H1289" s="155">
        <f>F1289/E1289</f>
        <v>0.95512542497812947</v>
      </c>
      <c r="I1289" s="278">
        <f>I1225+I1238+I1246+I1248+I1257+I1263+I1266+I1272+I1274</f>
        <v>1</v>
      </c>
    </row>
    <row r="1290" spans="1:15" s="17" customFormat="1" ht="16.5" customHeight="1" x14ac:dyDescent="0.2">
      <c r="A1290" s="621"/>
      <c r="B1290" s="621"/>
      <c r="C1290" s="621"/>
      <c r="D1290" s="621"/>
      <c r="E1290" s="621"/>
      <c r="F1290" s="621"/>
      <c r="G1290" s="621"/>
      <c r="H1290" s="621"/>
      <c r="I1290" s="621"/>
    </row>
    <row r="1291" spans="1:15" s="17" customFormat="1" ht="16.5" customHeight="1" x14ac:dyDescent="0.2">
      <c r="A1291" s="145" t="s">
        <v>1072</v>
      </c>
      <c r="B1291" s="145"/>
      <c r="C1291" s="145"/>
      <c r="D1291" s="145"/>
      <c r="E1291" s="145"/>
      <c r="F1291" s="145"/>
      <c r="G1291" s="145"/>
      <c r="H1291" s="145"/>
      <c r="I1291" s="145"/>
    </row>
    <row r="1292" spans="1:15" s="17" customFormat="1" ht="16.5" customHeight="1" x14ac:dyDescent="0.2">
      <c r="A1292" s="145" t="s">
        <v>1073</v>
      </c>
      <c r="B1292" s="145"/>
      <c r="C1292" s="145"/>
      <c r="D1292" s="145"/>
      <c r="E1292" s="145"/>
      <c r="F1292" s="145"/>
      <c r="G1292" s="145"/>
      <c r="H1292" s="145"/>
      <c r="I1292" s="145"/>
    </row>
    <row r="1293" spans="1:15" s="17" customFormat="1" ht="16.5" customHeight="1" x14ac:dyDescent="0.2">
      <c r="A1293" s="145" t="s">
        <v>1074</v>
      </c>
      <c r="B1293" s="145"/>
      <c r="C1293" s="145"/>
      <c r="D1293" s="145"/>
      <c r="E1293" s="145"/>
      <c r="F1293" s="145"/>
      <c r="G1293" s="145"/>
      <c r="H1293" s="145"/>
      <c r="I1293" s="145"/>
    </row>
    <row r="1294" spans="1:15" s="17" customFormat="1" ht="16.5" customHeight="1" x14ac:dyDescent="0.2">
      <c r="A1294" s="145" t="s">
        <v>725</v>
      </c>
      <c r="B1294" s="145"/>
      <c r="C1294" s="145"/>
      <c r="D1294" s="145"/>
      <c r="E1294" s="145"/>
      <c r="F1294" s="145"/>
      <c r="G1294" s="145"/>
      <c r="H1294" s="145"/>
      <c r="I1294" s="145"/>
    </row>
    <row r="1295" spans="1:15" s="17" customFormat="1" ht="16.5" customHeight="1" x14ac:dyDescent="0.2">
      <c r="A1295" s="145" t="s">
        <v>723</v>
      </c>
      <c r="B1295" s="145"/>
      <c r="C1295" s="145"/>
      <c r="D1295" s="145"/>
      <c r="E1295" s="145"/>
      <c r="F1295" s="145"/>
      <c r="G1295" s="145"/>
      <c r="H1295" s="145"/>
      <c r="I1295" s="145"/>
    </row>
    <row r="1296" spans="1:15" s="17" customFormat="1" ht="16.5" customHeight="1" x14ac:dyDescent="0.2">
      <c r="A1296" s="145" t="s">
        <v>1075</v>
      </c>
      <c r="B1296" s="145"/>
      <c r="C1296" s="145"/>
      <c r="D1296" s="145"/>
      <c r="E1296" s="145"/>
      <c r="F1296" s="145"/>
      <c r="G1296" s="145"/>
      <c r="H1296" s="145"/>
      <c r="I1296" s="145"/>
    </row>
    <row r="1297" spans="1:9" s="17" customFormat="1" ht="16.5" customHeight="1" x14ac:dyDescent="0.2">
      <c r="A1297" s="145" t="s">
        <v>726</v>
      </c>
      <c r="B1297" s="145"/>
      <c r="C1297" s="145"/>
      <c r="D1297" s="145"/>
      <c r="E1297" s="145"/>
      <c r="F1297" s="145"/>
      <c r="G1297" s="145"/>
      <c r="H1297" s="145"/>
      <c r="I1297" s="145"/>
    </row>
    <row r="1298" spans="1:9" s="17" customFormat="1" ht="16.5" customHeight="1" x14ac:dyDescent="0.2">
      <c r="A1298" s="156"/>
      <c r="B1298" s="621" t="s">
        <v>1076</v>
      </c>
      <c r="C1298" s="621"/>
      <c r="D1298" s="621"/>
      <c r="E1298" s="621"/>
      <c r="F1298" s="621"/>
      <c r="G1298" s="621"/>
      <c r="H1298" s="621"/>
      <c r="I1298" s="621"/>
    </row>
    <row r="1299" spans="1:9" s="17" customFormat="1" ht="16.5" customHeight="1" x14ac:dyDescent="0.2">
      <c r="A1299" s="156" t="s">
        <v>1077</v>
      </c>
      <c r="B1299" s="145"/>
      <c r="C1299" s="145"/>
      <c r="D1299" s="145"/>
      <c r="E1299" s="145"/>
      <c r="F1299" s="145"/>
      <c r="G1299" s="145"/>
      <c r="H1299" s="145"/>
      <c r="I1299" s="145"/>
    </row>
    <row r="1300" spans="1:9" s="17" customFormat="1" ht="16.5" customHeight="1" x14ac:dyDescent="0.2">
      <c r="A1300" s="621" t="s">
        <v>1078</v>
      </c>
      <c r="B1300" s="621"/>
      <c r="C1300" s="621"/>
      <c r="D1300" s="621"/>
      <c r="E1300" s="621"/>
      <c r="F1300" s="621"/>
      <c r="G1300" s="621"/>
      <c r="H1300" s="621"/>
      <c r="I1300" s="621"/>
    </row>
    <row r="1301" spans="1:9" s="17" customFormat="1" ht="16.5" customHeight="1" x14ac:dyDescent="0.2">
      <c r="A1301" s="249" t="s">
        <v>724</v>
      </c>
      <c r="B1301" s="249"/>
      <c r="C1301" s="249"/>
      <c r="D1301" s="249"/>
      <c r="E1301" s="249"/>
      <c r="F1301" s="249"/>
      <c r="G1301" s="249"/>
      <c r="H1301" s="249"/>
      <c r="I1301" s="249"/>
    </row>
    <row r="1302" spans="1:9" s="17" customFormat="1" ht="16.5" customHeight="1" x14ac:dyDescent="0.2">
      <c r="A1302" s="249"/>
      <c r="B1302" s="249"/>
      <c r="C1302" s="249"/>
      <c r="D1302" s="249"/>
      <c r="E1302" s="249"/>
      <c r="F1302" s="249"/>
      <c r="G1302" s="249"/>
      <c r="H1302" s="249"/>
      <c r="I1302" s="249"/>
    </row>
    <row r="1303" spans="1:9" s="17" customFormat="1" ht="16.5" customHeight="1" x14ac:dyDescent="0.2">
      <c r="I1303" s="249"/>
    </row>
    <row r="1304" spans="1:9" s="17" customFormat="1" ht="16.5" customHeight="1" x14ac:dyDescent="0.2">
      <c r="I1304" s="249"/>
    </row>
    <row r="1305" spans="1:9" s="17" customFormat="1" ht="16.5" customHeight="1" x14ac:dyDescent="0.2">
      <c r="I1305" s="249"/>
    </row>
    <row r="1306" spans="1:9" s="17" customFormat="1" ht="16.5" customHeight="1" x14ac:dyDescent="0.2">
      <c r="I1306" s="249"/>
    </row>
    <row r="1307" spans="1:9" s="17" customFormat="1" ht="16.5" customHeight="1" x14ac:dyDescent="0.2">
      <c r="I1307" s="249"/>
    </row>
    <row r="1308" spans="1:9" s="17" customFormat="1" ht="16.5" customHeight="1" x14ac:dyDescent="0.2">
      <c r="I1308" s="249"/>
    </row>
    <row r="1309" spans="1:9" s="17" customFormat="1" ht="16.5" customHeight="1" x14ac:dyDescent="0.2">
      <c r="I1309" s="249"/>
    </row>
    <row r="1310" spans="1:9" s="17" customFormat="1" ht="16.5" customHeight="1" x14ac:dyDescent="0.2">
      <c r="I1310" s="249"/>
    </row>
    <row r="1311" spans="1:9" s="17" customFormat="1" ht="16.5" customHeight="1" x14ac:dyDescent="0.2">
      <c r="I1311" s="249"/>
    </row>
    <row r="1312" spans="1:9" s="17" customFormat="1" ht="16.5" customHeight="1" x14ac:dyDescent="0.2">
      <c r="I1312" s="249"/>
    </row>
    <row r="1313" spans="1:9" s="17" customFormat="1" ht="16.5" customHeight="1" x14ac:dyDescent="0.2">
      <c r="I1313" s="249"/>
    </row>
    <row r="1314" spans="1:9" s="17" customFormat="1" ht="16.5" customHeight="1" x14ac:dyDescent="0.2">
      <c r="I1314" s="249"/>
    </row>
    <row r="1315" spans="1:9" s="17" customFormat="1" ht="16.5" customHeight="1" x14ac:dyDescent="0.2">
      <c r="I1315" s="249"/>
    </row>
    <row r="1316" spans="1:9" s="17" customFormat="1" ht="16.5" customHeight="1" x14ac:dyDescent="0.2">
      <c r="I1316" s="249"/>
    </row>
    <row r="1317" spans="1:9" s="17" customFormat="1" ht="16.5" customHeight="1" x14ac:dyDescent="0.2">
      <c r="I1317" s="249"/>
    </row>
    <row r="1318" spans="1:9" s="17" customFormat="1" ht="16.5" customHeight="1" x14ac:dyDescent="0.2">
      <c r="I1318" s="249"/>
    </row>
    <row r="1319" spans="1:9" s="17" customFormat="1" ht="16.5" customHeight="1" x14ac:dyDescent="0.2">
      <c r="I1319" s="249"/>
    </row>
    <row r="1320" spans="1:9" s="17" customFormat="1" ht="16.5" customHeight="1" x14ac:dyDescent="0.2">
      <c r="I1320" s="249"/>
    </row>
    <row r="1321" spans="1:9" s="17" customFormat="1" ht="16.5" customHeight="1" x14ac:dyDescent="0.2">
      <c r="I1321" s="249"/>
    </row>
    <row r="1322" spans="1:9" s="17" customFormat="1" ht="16.5" customHeight="1" x14ac:dyDescent="0.2">
      <c r="I1322" s="249"/>
    </row>
    <row r="1323" spans="1:9" s="17" customFormat="1" ht="16.5" customHeight="1" x14ac:dyDescent="0.2">
      <c r="I1323" s="249"/>
    </row>
    <row r="1324" spans="1:9" s="17" customFormat="1" ht="16.5" customHeight="1" x14ac:dyDescent="0.2">
      <c r="I1324" s="249"/>
    </row>
    <row r="1325" spans="1:9" s="17" customFormat="1" ht="16.5" customHeight="1" x14ac:dyDescent="0.2">
      <c r="I1325" s="249"/>
    </row>
    <row r="1326" spans="1:9" s="17" customFormat="1" ht="16.5" customHeight="1" x14ac:dyDescent="0.2">
      <c r="I1326" s="249"/>
    </row>
    <row r="1327" spans="1:9" s="17" customFormat="1" ht="16.5" customHeight="1" x14ac:dyDescent="0.2">
      <c r="I1327" s="304">
        <v>23</v>
      </c>
    </row>
    <row r="1328" spans="1:9" s="17" customFormat="1" ht="16.5" customHeight="1" x14ac:dyDescent="0.2">
      <c r="A1328" s="279"/>
      <c r="B1328" s="642" t="s">
        <v>318</v>
      </c>
      <c r="C1328" s="642"/>
      <c r="D1328" s="642"/>
      <c r="E1328" s="642"/>
      <c r="F1328" s="20"/>
      <c r="G1328" s="20"/>
      <c r="H1328" s="20"/>
      <c r="I1328" s="20"/>
    </row>
    <row r="1329" spans="1:9" s="17" customFormat="1" ht="16.5" customHeight="1" x14ac:dyDescent="0.2">
      <c r="A1329" s="279"/>
      <c r="B1329" s="279"/>
      <c r="C1329" s="279"/>
      <c r="D1329" s="279"/>
      <c r="E1329" s="279"/>
      <c r="F1329" s="20"/>
      <c r="G1329" s="20"/>
      <c r="H1329" s="20"/>
      <c r="I1329" s="20"/>
    </row>
    <row r="1330" spans="1:9" s="17" customFormat="1" ht="16.5" customHeight="1" x14ac:dyDescent="0.2">
      <c r="A1330" s="279"/>
      <c r="B1330" s="603" t="s">
        <v>450</v>
      </c>
      <c r="C1330" s="603"/>
      <c r="D1330" s="603"/>
      <c r="E1330" s="603"/>
      <c r="F1330" s="603"/>
      <c r="G1330" s="603"/>
      <c r="H1330" s="603"/>
      <c r="I1330" s="603"/>
    </row>
    <row r="1331" spans="1:9" s="17" customFormat="1" ht="16.5" customHeight="1" x14ac:dyDescent="0.2">
      <c r="A1331" s="279"/>
      <c r="B1331" s="21"/>
      <c r="C1331" s="21"/>
      <c r="D1331" s="21"/>
      <c r="E1331" s="21"/>
      <c r="F1331" s="21"/>
      <c r="G1331" s="21"/>
      <c r="H1331" s="21"/>
      <c r="I1331" s="21"/>
    </row>
    <row r="1332" spans="1:9" s="17" customFormat="1" ht="16.5" customHeight="1" x14ac:dyDescent="0.2">
      <c r="A1332" s="20"/>
      <c r="B1332" s="604" t="s">
        <v>727</v>
      </c>
      <c r="C1332" s="604"/>
      <c r="D1332" s="604"/>
      <c r="E1332" s="604"/>
      <c r="F1332" s="604"/>
      <c r="G1332" s="604"/>
      <c r="H1332" s="604"/>
      <c r="I1332" s="280"/>
    </row>
    <row r="1333" spans="1:9" s="17" customFormat="1" ht="16.5" customHeight="1" x14ac:dyDescent="0.2">
      <c r="A1333" s="145"/>
      <c r="B1333" s="145"/>
      <c r="C1333" s="145"/>
      <c r="D1333" s="145"/>
      <c r="E1333" s="605" t="s">
        <v>84</v>
      </c>
      <c r="F1333" s="145"/>
      <c r="G1333" s="145"/>
      <c r="H1333" s="145"/>
      <c r="I1333" s="145"/>
    </row>
    <row r="1334" spans="1:9" s="17" customFormat="1" ht="16.5" customHeight="1" x14ac:dyDescent="0.2">
      <c r="A1334" s="224"/>
      <c r="B1334" s="247"/>
      <c r="C1334" s="15"/>
      <c r="D1334" s="156"/>
      <c r="E1334" s="606"/>
      <c r="F1334" s="156"/>
      <c r="G1334" s="224"/>
      <c r="H1334" s="156"/>
      <c r="I1334" s="156"/>
    </row>
    <row r="1335" spans="1:9" s="17" customFormat="1" ht="16.5" customHeight="1" x14ac:dyDescent="0.2">
      <c r="A1335" s="192" t="s">
        <v>48</v>
      </c>
      <c r="B1335" s="607" t="s">
        <v>49</v>
      </c>
      <c r="C1335" s="608"/>
      <c r="D1335" s="411" t="s">
        <v>85</v>
      </c>
      <c r="E1335" s="409" t="s">
        <v>152</v>
      </c>
      <c r="F1335" s="42" t="s">
        <v>86</v>
      </c>
      <c r="G1335" s="611" t="s">
        <v>52</v>
      </c>
      <c r="H1335" s="612"/>
      <c r="I1335" s="613" t="s">
        <v>53</v>
      </c>
    </row>
    <row r="1336" spans="1:9" s="17" customFormat="1" ht="12" customHeight="1" x14ac:dyDescent="0.2">
      <c r="A1336" s="193" t="s">
        <v>87</v>
      </c>
      <c r="B1336" s="609"/>
      <c r="C1336" s="610"/>
      <c r="D1336" s="412" t="s">
        <v>537</v>
      </c>
      <c r="E1336" s="44" t="s">
        <v>571</v>
      </c>
      <c r="F1336" s="44" t="s">
        <v>571</v>
      </c>
      <c r="G1336" s="281" t="s">
        <v>55</v>
      </c>
      <c r="H1336" s="29" t="s">
        <v>56</v>
      </c>
      <c r="I1336" s="614"/>
    </row>
    <row r="1337" spans="1:9" s="17" customFormat="1" ht="12" customHeight="1" x14ac:dyDescent="0.2">
      <c r="A1337" s="164">
        <v>1</v>
      </c>
      <c r="B1337" s="717">
        <v>2</v>
      </c>
      <c r="C1337" s="718"/>
      <c r="D1337" s="282">
        <v>3</v>
      </c>
      <c r="E1337" s="148">
        <v>4</v>
      </c>
      <c r="F1337" s="148">
        <v>5</v>
      </c>
      <c r="G1337" s="148">
        <v>6</v>
      </c>
      <c r="H1337" s="148">
        <v>7</v>
      </c>
      <c r="I1337" s="283">
        <v>8</v>
      </c>
    </row>
    <row r="1338" spans="1:9" s="17" customFormat="1" ht="16.5" customHeight="1" x14ac:dyDescent="0.2">
      <c r="A1338" s="547">
        <v>111</v>
      </c>
      <c r="B1338" s="601" t="s">
        <v>184</v>
      </c>
      <c r="C1338" s="602"/>
      <c r="D1338" s="110">
        <f>D614</f>
        <v>148006.38</v>
      </c>
      <c r="E1338" s="110">
        <f>E614</f>
        <v>197148</v>
      </c>
      <c r="F1338" s="110">
        <f>F614</f>
        <v>197148</v>
      </c>
      <c r="G1338" s="284">
        <f t="shared" ref="G1338:G1343" si="63">F1338/D1338</f>
        <v>1.3320236600611406</v>
      </c>
      <c r="H1338" s="166">
        <f t="shared" ref="H1338:H1343" si="64">F1338/E1338</f>
        <v>1</v>
      </c>
      <c r="I1338" s="285">
        <f>F1338/F1343</f>
        <v>0.37109448969067776</v>
      </c>
    </row>
    <row r="1339" spans="1:9" s="17" customFormat="1" ht="16.5" customHeight="1" x14ac:dyDescent="0.2">
      <c r="A1339" s="161">
        <v>130</v>
      </c>
      <c r="B1339" s="601" t="s">
        <v>185</v>
      </c>
      <c r="C1339" s="602"/>
      <c r="D1339" s="286">
        <f>D835</f>
        <v>43915.040000000001</v>
      </c>
      <c r="E1339" s="286">
        <f>E835</f>
        <v>47500</v>
      </c>
      <c r="F1339" s="286">
        <f>F835</f>
        <v>47371.22</v>
      </c>
      <c r="G1339" s="91">
        <f t="shared" si="63"/>
        <v>1.0787015109174443</v>
      </c>
      <c r="H1339" s="92">
        <f t="shared" si="64"/>
        <v>0.99728884210526314</v>
      </c>
      <c r="I1339" s="92">
        <f>F1339/F1343</f>
        <v>8.9167522429468363E-2</v>
      </c>
    </row>
    <row r="1340" spans="1:9" s="17" customFormat="1" ht="16.5" customHeight="1" x14ac:dyDescent="0.2">
      <c r="A1340" s="86">
        <v>132</v>
      </c>
      <c r="B1340" s="601" t="s">
        <v>186</v>
      </c>
      <c r="C1340" s="602"/>
      <c r="D1340" s="110">
        <f>D947</f>
        <v>0</v>
      </c>
      <c r="E1340" s="110">
        <f>E947</f>
        <v>0</v>
      </c>
      <c r="F1340" s="110">
        <f>F947</f>
        <v>0</v>
      </c>
      <c r="G1340" s="287" t="e">
        <f t="shared" si="63"/>
        <v>#DIV/0!</v>
      </c>
      <c r="H1340" s="288" t="e">
        <f t="shared" si="64"/>
        <v>#DIV/0!</v>
      </c>
      <c r="I1340" s="288">
        <f>F1340/F1343</f>
        <v>0</v>
      </c>
    </row>
    <row r="1341" spans="1:9" s="17" customFormat="1" ht="16.5" customHeight="1" x14ac:dyDescent="0.2">
      <c r="A1341" s="161">
        <v>200</v>
      </c>
      <c r="B1341" s="601" t="s">
        <v>187</v>
      </c>
      <c r="C1341" s="602"/>
      <c r="D1341" s="110">
        <f>D1059</f>
        <v>294945</v>
      </c>
      <c r="E1341" s="110">
        <f>E1059</f>
        <v>290144.11</v>
      </c>
      <c r="F1341" s="289">
        <f>F1059</f>
        <v>286741.7</v>
      </c>
      <c r="G1341" s="242">
        <f t="shared" si="63"/>
        <v>0.97218701791859508</v>
      </c>
      <c r="H1341" s="290">
        <f t="shared" si="64"/>
        <v>0.98827337904601964</v>
      </c>
      <c r="I1341" s="243">
        <f>F1341/F1343</f>
        <v>0.53973798787985383</v>
      </c>
    </row>
    <row r="1342" spans="1:9" s="17" customFormat="1" ht="16.5" customHeight="1" x14ac:dyDescent="0.2">
      <c r="A1342" s="161">
        <v>300</v>
      </c>
      <c r="B1342" s="601" t="s">
        <v>188</v>
      </c>
      <c r="C1342" s="602"/>
      <c r="D1342" s="291">
        <f>D1169</f>
        <v>0</v>
      </c>
      <c r="E1342" s="291">
        <f>E1169</f>
        <v>0</v>
      </c>
      <c r="F1342" s="291">
        <f>F1169</f>
        <v>0</v>
      </c>
      <c r="G1342" s="292" t="e">
        <f t="shared" si="63"/>
        <v>#DIV/0!</v>
      </c>
      <c r="H1342" s="243" t="e">
        <f t="shared" si="64"/>
        <v>#DIV/0!</v>
      </c>
      <c r="I1342" s="243">
        <f>F1342/F1343</f>
        <v>0</v>
      </c>
    </row>
    <row r="1343" spans="1:9" s="17" customFormat="1" ht="16.5" customHeight="1" x14ac:dyDescent="0.2">
      <c r="A1343" s="168"/>
      <c r="B1343" s="625" t="s">
        <v>83</v>
      </c>
      <c r="C1343" s="626"/>
      <c r="D1343" s="470">
        <f>D1338+D1339+D1340+D1341+D1342</f>
        <v>486866.42000000004</v>
      </c>
      <c r="E1343" s="470">
        <f>E1338+E1339+E1340+E1341+E1342</f>
        <v>534792.11</v>
      </c>
      <c r="F1343" s="470">
        <f>F1338+F1339+F1340+F1341+F1342</f>
        <v>531260.92000000004</v>
      </c>
      <c r="G1343" s="170">
        <f t="shared" si="63"/>
        <v>1.0911841486212994</v>
      </c>
      <c r="H1343" s="155">
        <f t="shared" si="64"/>
        <v>0.99339707910051267</v>
      </c>
      <c r="I1343" s="155">
        <f>I1338+I1339+I1340+I1341+I1342</f>
        <v>1</v>
      </c>
    </row>
    <row r="1344" spans="1:9" s="17" customFormat="1" ht="16.5" customHeight="1" x14ac:dyDescent="0.2">
      <c r="A1344" s="201"/>
      <c r="B1344" s="259"/>
      <c r="C1344" s="293"/>
      <c r="D1344" s="293"/>
      <c r="E1344" s="187"/>
      <c r="F1344" s="188"/>
      <c r="G1344" s="294"/>
      <c r="H1344" s="294"/>
      <c r="I1344" s="280"/>
    </row>
    <row r="1345" spans="1:9" s="17" customFormat="1" ht="16.5" customHeight="1" x14ac:dyDescent="0.2">
      <c r="A1345" s="295"/>
      <c r="B1345" s="743" t="s">
        <v>728</v>
      </c>
      <c r="C1345" s="743"/>
      <c r="D1345" s="743"/>
      <c r="E1345" s="743"/>
      <c r="F1345" s="743"/>
      <c r="G1345" s="743"/>
      <c r="H1345" s="743"/>
      <c r="I1345" s="743"/>
    </row>
    <row r="1346" spans="1:9" s="17" customFormat="1" ht="16.5" customHeight="1" x14ac:dyDescent="0.2">
      <c r="A1346" s="743" t="s">
        <v>729</v>
      </c>
      <c r="B1346" s="743"/>
      <c r="C1346" s="743"/>
      <c r="D1346" s="743"/>
      <c r="E1346" s="743"/>
      <c r="F1346" s="743"/>
      <c r="G1346" s="743"/>
      <c r="H1346" s="743"/>
      <c r="I1346" s="743"/>
    </row>
    <row r="1347" spans="1:9" s="17" customFormat="1" ht="16.5" customHeight="1" x14ac:dyDescent="0.2">
      <c r="A1347" s="621" t="s">
        <v>730</v>
      </c>
      <c r="B1347" s="621"/>
      <c r="C1347" s="621"/>
      <c r="D1347" s="621"/>
      <c r="E1347" s="621"/>
      <c r="F1347" s="621"/>
      <c r="G1347" s="621"/>
      <c r="H1347" s="621"/>
      <c r="I1347" s="621"/>
    </row>
    <row r="1348" spans="1:9" s="17" customFormat="1" ht="16.5" customHeight="1" x14ac:dyDescent="0.2">
      <c r="A1348" s="622" t="s">
        <v>731</v>
      </c>
      <c r="B1348" s="622"/>
      <c r="C1348" s="622"/>
      <c r="D1348" s="622"/>
      <c r="E1348" s="622"/>
      <c r="F1348" s="622"/>
      <c r="G1348" s="622"/>
      <c r="H1348" s="622"/>
      <c r="I1348" s="622"/>
    </row>
    <row r="1349" spans="1:9" s="17" customFormat="1" ht="16.5" customHeight="1" x14ac:dyDescent="0.2">
      <c r="A1349" s="621" t="s">
        <v>732</v>
      </c>
      <c r="B1349" s="621"/>
      <c r="C1349" s="621"/>
      <c r="D1349" s="621"/>
      <c r="E1349" s="621"/>
      <c r="F1349" s="621"/>
      <c r="G1349" s="621"/>
      <c r="H1349" s="621"/>
      <c r="I1349" s="621"/>
    </row>
    <row r="1350" spans="1:9" s="17" customFormat="1" ht="16.5" customHeight="1" x14ac:dyDescent="0.2">
      <c r="A1350" s="622" t="s">
        <v>733</v>
      </c>
      <c r="B1350" s="622"/>
      <c r="C1350" s="622"/>
      <c r="D1350" s="622"/>
      <c r="E1350" s="622"/>
      <c r="F1350" s="622"/>
      <c r="G1350" s="622"/>
      <c r="H1350" s="622"/>
      <c r="I1350" s="622"/>
    </row>
    <row r="1351" spans="1:9" s="17" customFormat="1" ht="16.5" customHeight="1" x14ac:dyDescent="0.2">
      <c r="A1351" s="622" t="s">
        <v>734</v>
      </c>
      <c r="B1351" s="622"/>
      <c r="C1351" s="622"/>
      <c r="D1351" s="622"/>
      <c r="E1351" s="622"/>
      <c r="F1351" s="622"/>
      <c r="G1351" s="622"/>
      <c r="H1351" s="622"/>
      <c r="I1351" s="622"/>
    </row>
    <row r="1352" spans="1:9" s="17" customFormat="1" ht="16.5" customHeight="1" x14ac:dyDescent="0.2">
      <c r="A1352" s="622" t="s">
        <v>735</v>
      </c>
      <c r="B1352" s="622"/>
      <c r="C1352" s="622"/>
      <c r="D1352" s="622"/>
      <c r="E1352" s="622"/>
      <c r="F1352" s="622"/>
      <c r="G1352" s="622"/>
      <c r="H1352" s="622"/>
      <c r="I1352" s="622"/>
    </row>
    <row r="1353" spans="1:9" s="17" customFormat="1" ht="16.5" customHeight="1" x14ac:dyDescent="0.2">
      <c r="B1353" s="249" t="s">
        <v>736</v>
      </c>
    </row>
    <row r="1354" spans="1:9" s="17" customFormat="1" ht="16.5" customHeight="1" x14ac:dyDescent="0.2">
      <c r="A1354" s="249" t="s">
        <v>737</v>
      </c>
    </row>
    <row r="1355" spans="1:9" s="17" customFormat="1" ht="16.5" customHeight="1" x14ac:dyDescent="0.2">
      <c r="A1355" s="156"/>
      <c r="B1355" s="156" t="s">
        <v>738</v>
      </c>
      <c r="C1355" s="156"/>
      <c r="D1355" s="156"/>
      <c r="E1355" s="156"/>
      <c r="F1355" s="156"/>
      <c r="G1355" s="156"/>
      <c r="H1355" s="156"/>
      <c r="I1355" s="156"/>
    </row>
    <row r="1356" spans="1:9" s="17" customFormat="1" ht="16.5" customHeight="1" x14ac:dyDescent="0.2">
      <c r="A1356" s="156"/>
      <c r="B1356" s="156"/>
      <c r="C1356" s="156"/>
      <c r="D1356" s="156"/>
      <c r="E1356" s="156"/>
      <c r="F1356" s="156"/>
      <c r="G1356" s="156"/>
      <c r="H1356" s="156"/>
      <c r="I1356" s="156"/>
    </row>
    <row r="1357" spans="1:9" s="17" customFormat="1" ht="16.5" customHeight="1" x14ac:dyDescent="0.2">
      <c r="A1357" s="156"/>
      <c r="B1357" s="156"/>
      <c r="C1357" s="156"/>
      <c r="D1357" s="156"/>
      <c r="E1357" s="156"/>
      <c r="F1357" s="156"/>
      <c r="G1357" s="156"/>
      <c r="H1357" s="156"/>
      <c r="I1357" s="156"/>
    </row>
    <row r="1358" spans="1:9" s="17" customFormat="1" ht="16.5" customHeight="1" x14ac:dyDescent="0.2">
      <c r="A1358" s="156"/>
      <c r="B1358" s="156"/>
      <c r="C1358" s="156"/>
      <c r="D1358" s="156"/>
      <c r="E1358" s="156"/>
      <c r="F1358" s="156"/>
      <c r="G1358" s="156"/>
      <c r="H1358" s="156"/>
      <c r="I1358" s="156"/>
    </row>
    <row r="1359" spans="1:9" s="17" customFormat="1" ht="16.5" customHeight="1" x14ac:dyDescent="0.2">
      <c r="A1359" s="156"/>
      <c r="B1359" s="156"/>
      <c r="C1359" s="156"/>
      <c r="D1359" s="156"/>
      <c r="E1359" s="156"/>
      <c r="F1359" s="156"/>
      <c r="G1359" s="156"/>
      <c r="H1359" s="156"/>
      <c r="I1359" s="156"/>
    </row>
    <row r="1360" spans="1:9" s="17" customFormat="1" ht="16.5" customHeight="1" x14ac:dyDescent="0.2">
      <c r="A1360" s="156"/>
      <c r="B1360" s="156"/>
      <c r="C1360" s="156"/>
      <c r="D1360" s="156"/>
      <c r="E1360" s="156"/>
      <c r="F1360" s="156"/>
      <c r="G1360" s="156"/>
      <c r="H1360" s="156"/>
      <c r="I1360" s="156"/>
    </row>
    <row r="1361" spans="1:9" s="17" customFormat="1" ht="16.5" customHeight="1" x14ac:dyDescent="0.2">
      <c r="A1361" s="156"/>
      <c r="B1361" s="156"/>
      <c r="C1361" s="156"/>
      <c r="D1361" s="156"/>
      <c r="E1361" s="156"/>
      <c r="F1361" s="156"/>
      <c r="G1361" s="156"/>
      <c r="H1361" s="156"/>
      <c r="I1361" s="156"/>
    </row>
    <row r="1362" spans="1:9" s="17" customFormat="1" ht="16.5" customHeight="1" x14ac:dyDescent="0.2">
      <c r="A1362" s="156"/>
      <c r="B1362" s="156"/>
      <c r="C1362" s="156"/>
      <c r="D1362" s="156"/>
      <c r="E1362" s="156"/>
      <c r="F1362" s="156"/>
      <c r="G1362" s="156"/>
      <c r="H1362" s="156"/>
      <c r="I1362" s="156"/>
    </row>
    <row r="1363" spans="1:9" s="17" customFormat="1" ht="16.5" customHeight="1" x14ac:dyDescent="0.2">
      <c r="A1363" s="156"/>
      <c r="B1363" s="156"/>
      <c r="C1363" s="156"/>
      <c r="D1363" s="156"/>
      <c r="E1363" s="156"/>
      <c r="F1363" s="156"/>
      <c r="G1363" s="156"/>
      <c r="H1363" s="156"/>
      <c r="I1363" s="156"/>
    </row>
    <row r="1364" spans="1:9" s="17" customFormat="1" ht="16.5" customHeight="1" x14ac:dyDescent="0.2">
      <c r="A1364" s="156"/>
      <c r="B1364" s="156"/>
      <c r="C1364" s="156"/>
      <c r="D1364" s="156"/>
      <c r="E1364" s="156"/>
      <c r="F1364" s="156"/>
      <c r="G1364" s="156"/>
      <c r="H1364" s="156"/>
      <c r="I1364" s="156"/>
    </row>
    <row r="1365" spans="1:9" s="17" customFormat="1" ht="16.5" customHeight="1" x14ac:dyDescent="0.2">
      <c r="A1365" s="156"/>
      <c r="B1365" s="156"/>
      <c r="C1365" s="156"/>
      <c r="D1365" s="156"/>
      <c r="E1365" s="156"/>
      <c r="F1365" s="156"/>
      <c r="G1365" s="156"/>
      <c r="H1365" s="156"/>
      <c r="I1365" s="156"/>
    </row>
    <row r="1366" spans="1:9" s="17" customFormat="1" ht="16.5" customHeight="1" x14ac:dyDescent="0.2">
      <c r="A1366" s="156"/>
      <c r="B1366" s="156"/>
      <c r="C1366" s="156"/>
      <c r="D1366" s="156"/>
      <c r="E1366" s="156"/>
      <c r="F1366" s="156"/>
      <c r="G1366" s="156"/>
      <c r="H1366" s="156"/>
      <c r="I1366" s="156"/>
    </row>
    <row r="1367" spans="1:9" s="17" customFormat="1" ht="16.5" customHeight="1" x14ac:dyDescent="0.2">
      <c r="A1367" s="156"/>
      <c r="B1367" s="156"/>
      <c r="C1367" s="156"/>
      <c r="D1367" s="156"/>
      <c r="E1367" s="156"/>
      <c r="F1367" s="156"/>
      <c r="G1367" s="156"/>
      <c r="H1367" s="156"/>
      <c r="I1367" s="156"/>
    </row>
    <row r="1368" spans="1:9" s="17" customFormat="1" ht="16.5" customHeight="1" x14ac:dyDescent="0.2">
      <c r="A1368" s="156"/>
      <c r="B1368" s="156"/>
      <c r="C1368" s="156"/>
      <c r="D1368" s="156"/>
      <c r="E1368" s="156"/>
      <c r="F1368" s="156"/>
      <c r="G1368" s="156"/>
      <c r="H1368" s="156"/>
      <c r="I1368" s="156"/>
    </row>
    <row r="1369" spans="1:9" s="17" customFormat="1" ht="16.5" customHeight="1" x14ac:dyDescent="0.2">
      <c r="A1369" s="156"/>
      <c r="B1369" s="156"/>
      <c r="C1369" s="156"/>
      <c r="D1369" s="156"/>
      <c r="E1369" s="156"/>
      <c r="F1369" s="156"/>
      <c r="G1369" s="156"/>
      <c r="H1369" s="156"/>
      <c r="I1369" s="156"/>
    </row>
    <row r="1370" spans="1:9" s="17" customFormat="1" ht="16.5" customHeight="1" x14ac:dyDescent="0.2">
      <c r="A1370" s="156"/>
      <c r="B1370" s="156"/>
      <c r="C1370" s="156"/>
      <c r="D1370" s="156"/>
      <c r="E1370" s="156"/>
      <c r="F1370" s="156"/>
      <c r="G1370" s="156"/>
      <c r="H1370" s="156"/>
      <c r="I1370" s="156"/>
    </row>
    <row r="1371" spans="1:9" s="17" customFormat="1" ht="16.5" customHeight="1" x14ac:dyDescent="0.2">
      <c r="A1371" s="156"/>
      <c r="B1371" s="156"/>
      <c r="C1371" s="156"/>
      <c r="D1371" s="156"/>
      <c r="E1371" s="156"/>
      <c r="F1371" s="156"/>
      <c r="G1371" s="156"/>
      <c r="H1371" s="156"/>
      <c r="I1371" s="156"/>
    </row>
    <row r="1372" spans="1:9" s="17" customFormat="1" ht="16.5" customHeight="1" x14ac:dyDescent="0.2">
      <c r="A1372" s="156"/>
      <c r="B1372" s="156"/>
      <c r="C1372" s="156"/>
      <c r="D1372" s="156"/>
      <c r="E1372" s="156"/>
      <c r="F1372" s="156"/>
      <c r="G1372" s="156"/>
      <c r="H1372" s="156"/>
      <c r="I1372" s="156"/>
    </row>
    <row r="1373" spans="1:9" s="17" customFormat="1" ht="16.5" customHeight="1" x14ac:dyDescent="0.2">
      <c r="A1373" s="156"/>
      <c r="B1373" s="156"/>
      <c r="C1373" s="156"/>
      <c r="D1373" s="156"/>
      <c r="E1373" s="156"/>
      <c r="F1373" s="156"/>
      <c r="G1373" s="156"/>
      <c r="H1373" s="156"/>
      <c r="I1373" s="156"/>
    </row>
    <row r="1374" spans="1:9" s="17" customFormat="1" ht="16.5" customHeight="1" x14ac:dyDescent="0.2">
      <c r="A1374" s="156"/>
      <c r="B1374" s="156"/>
      <c r="C1374" s="156"/>
      <c r="D1374" s="156"/>
      <c r="E1374" s="156"/>
      <c r="F1374" s="156"/>
      <c r="G1374" s="156"/>
      <c r="H1374" s="156"/>
      <c r="I1374" s="156"/>
    </row>
    <row r="1375" spans="1:9" s="17" customFormat="1" ht="16.5" customHeight="1" x14ac:dyDescent="0.2">
      <c r="A1375" s="156"/>
      <c r="B1375" s="156"/>
      <c r="C1375" s="156"/>
      <c r="D1375" s="156"/>
      <c r="E1375" s="156"/>
      <c r="F1375" s="156"/>
      <c r="G1375" s="156"/>
      <c r="H1375" s="156"/>
      <c r="I1375" s="156"/>
    </row>
    <row r="1376" spans="1:9" s="17" customFormat="1" ht="16.5" customHeight="1" x14ac:dyDescent="0.2">
      <c r="A1376" s="156"/>
      <c r="B1376" s="156"/>
      <c r="C1376" s="156"/>
      <c r="D1376" s="156"/>
      <c r="E1376" s="156"/>
      <c r="F1376" s="156"/>
      <c r="G1376" s="156"/>
      <c r="H1376" s="156"/>
      <c r="I1376" s="156"/>
    </row>
    <row r="1377" spans="1:9" s="17" customFormat="1" ht="16.5" customHeight="1" x14ac:dyDescent="0.2">
      <c r="A1377" s="156"/>
      <c r="B1377" s="156"/>
      <c r="C1377" s="156"/>
      <c r="D1377" s="156"/>
      <c r="E1377" s="156"/>
      <c r="F1377" s="156"/>
      <c r="G1377" s="156"/>
      <c r="H1377" s="156"/>
      <c r="I1377" s="156"/>
    </row>
    <row r="1378" spans="1:9" s="17" customFormat="1" ht="16.5" customHeight="1" x14ac:dyDescent="0.2">
      <c r="A1378" s="156"/>
      <c r="B1378" s="156"/>
      <c r="C1378" s="156"/>
      <c r="D1378" s="156"/>
      <c r="E1378" s="156"/>
      <c r="F1378" s="156"/>
      <c r="G1378" s="156"/>
      <c r="H1378" s="156"/>
      <c r="I1378" s="156"/>
    </row>
    <row r="1379" spans="1:9" s="17" customFormat="1" ht="16.5" customHeight="1" x14ac:dyDescent="0.2">
      <c r="A1379" s="156"/>
      <c r="B1379" s="156"/>
      <c r="C1379" s="156"/>
      <c r="D1379" s="156"/>
      <c r="E1379" s="156"/>
      <c r="F1379" s="156"/>
      <c r="G1379" s="156"/>
      <c r="H1379" s="156"/>
      <c r="I1379" s="156"/>
    </row>
    <row r="1380" spans="1:9" s="17" customFormat="1" ht="16.5" customHeight="1" x14ac:dyDescent="0.2">
      <c r="A1380" s="156"/>
      <c r="B1380" s="156"/>
      <c r="C1380" s="156"/>
      <c r="D1380" s="156"/>
      <c r="E1380" s="156"/>
      <c r="F1380" s="156"/>
      <c r="G1380" s="156"/>
      <c r="H1380" s="156"/>
      <c r="I1380" s="156"/>
    </row>
    <row r="1381" spans="1:9" s="17" customFormat="1" ht="16.5" customHeight="1" x14ac:dyDescent="0.2">
      <c r="A1381" s="156"/>
      <c r="B1381" s="156"/>
      <c r="C1381" s="156"/>
      <c r="D1381" s="156"/>
      <c r="E1381" s="156"/>
      <c r="F1381" s="156"/>
      <c r="G1381" s="156"/>
      <c r="H1381" s="156"/>
      <c r="I1381" s="156"/>
    </row>
    <row r="1382" spans="1:9" s="17" customFormat="1" ht="16.5" customHeight="1" x14ac:dyDescent="0.2">
      <c r="A1382" s="156"/>
      <c r="B1382" s="156"/>
      <c r="C1382" s="156"/>
      <c r="D1382" s="156"/>
      <c r="E1382" s="156"/>
      <c r="F1382" s="156"/>
      <c r="G1382" s="156"/>
      <c r="H1382" s="156"/>
      <c r="I1382" s="156"/>
    </row>
    <row r="1383" spans="1:9" s="17" customFormat="1" ht="16.5" customHeight="1" x14ac:dyDescent="0.2">
      <c r="A1383" s="156"/>
      <c r="B1383" s="156"/>
      <c r="C1383" s="156"/>
      <c r="D1383" s="156"/>
      <c r="E1383" s="156"/>
      <c r="F1383" s="156"/>
      <c r="G1383" s="156"/>
      <c r="H1383" s="156"/>
      <c r="I1383" s="160">
        <v>24</v>
      </c>
    </row>
    <row r="1384" spans="1:9" s="17" customFormat="1" ht="16.5" customHeight="1" x14ac:dyDescent="0.2">
      <c r="A1384" s="156"/>
      <c r="B1384" s="8" t="s">
        <v>319</v>
      </c>
      <c r="C1384" s="296"/>
      <c r="D1384" s="296"/>
      <c r="E1384" s="296"/>
      <c r="F1384" s="20"/>
      <c r="G1384" s="20"/>
      <c r="H1384" s="297"/>
      <c r="I1384" s="280"/>
    </row>
    <row r="1385" spans="1:9" s="17" customFormat="1" ht="16.5" customHeight="1" x14ac:dyDescent="0.2">
      <c r="A1385" s="279"/>
      <c r="B1385" s="279"/>
      <c r="C1385" s="279"/>
      <c r="D1385" s="279"/>
      <c r="E1385" s="279"/>
      <c r="F1385" s="20"/>
      <c r="G1385" s="20"/>
      <c r="H1385" s="297"/>
      <c r="I1385" s="280"/>
    </row>
    <row r="1386" spans="1:9" s="17" customFormat="1" ht="16.5" customHeight="1" x14ac:dyDescent="0.2">
      <c r="A1386" s="21"/>
      <c r="B1386" s="603" t="s">
        <v>739</v>
      </c>
      <c r="C1386" s="603"/>
      <c r="D1386" s="603"/>
      <c r="E1386" s="603"/>
      <c r="F1386" s="603"/>
      <c r="G1386" s="603"/>
      <c r="H1386" s="603"/>
      <c r="I1386" s="603"/>
    </row>
    <row r="1387" spans="1:9" s="17" customFormat="1" ht="16.5" customHeight="1" x14ac:dyDescent="0.2">
      <c r="A1387" s="603" t="s">
        <v>740</v>
      </c>
      <c r="B1387" s="603"/>
      <c r="C1387" s="603"/>
      <c r="D1387" s="603"/>
      <c r="E1387" s="603"/>
      <c r="F1387" s="603"/>
      <c r="G1387" s="603"/>
      <c r="H1387" s="603"/>
      <c r="I1387" s="603"/>
    </row>
    <row r="1388" spans="1:9" s="17" customFormat="1" ht="16.5" customHeight="1" x14ac:dyDescent="0.2">
      <c r="A1388" s="603" t="s">
        <v>741</v>
      </c>
      <c r="B1388" s="603"/>
      <c r="C1388" s="603"/>
      <c r="D1388" s="603"/>
      <c r="E1388" s="603"/>
      <c r="F1388" s="603"/>
      <c r="G1388" s="603"/>
      <c r="H1388" s="603"/>
      <c r="I1388" s="603"/>
    </row>
    <row r="1389" spans="1:9" s="17" customFormat="1" ht="16.5" customHeight="1" x14ac:dyDescent="0.2">
      <c r="A1389" s="603" t="s">
        <v>417</v>
      </c>
      <c r="B1389" s="603"/>
      <c r="C1389" s="603"/>
      <c r="D1389" s="603"/>
      <c r="E1389" s="603"/>
      <c r="F1389" s="603"/>
      <c r="G1389" s="603"/>
      <c r="H1389" s="603"/>
      <c r="I1389" s="603"/>
    </row>
    <row r="1390" spans="1:9" s="17" customFormat="1" ht="16.5" customHeight="1" x14ac:dyDescent="0.2">
      <c r="A1390" s="145"/>
      <c r="B1390" s="145"/>
      <c r="C1390" s="145"/>
      <c r="D1390" s="145"/>
      <c r="E1390" s="605" t="s">
        <v>84</v>
      </c>
      <c r="F1390" s="145"/>
      <c r="G1390" s="145"/>
      <c r="H1390" s="145"/>
      <c r="I1390" s="145"/>
    </row>
    <row r="1391" spans="1:9" s="17" customFormat="1" ht="16.5" customHeight="1" x14ac:dyDescent="0.2">
      <c r="A1391" s="224"/>
      <c r="B1391" s="247"/>
      <c r="C1391" s="15"/>
      <c r="D1391" s="156"/>
      <c r="E1391" s="605"/>
      <c r="F1391" s="156"/>
      <c r="G1391" s="224"/>
      <c r="H1391" s="156"/>
      <c r="I1391" s="156"/>
    </row>
    <row r="1392" spans="1:9" s="17" customFormat="1" ht="16.5" customHeight="1" x14ac:dyDescent="0.2">
      <c r="A1392" s="192" t="s">
        <v>48</v>
      </c>
      <c r="B1392" s="615" t="s">
        <v>49</v>
      </c>
      <c r="C1392" s="616"/>
      <c r="D1392" s="411" t="s">
        <v>85</v>
      </c>
      <c r="E1392" s="409" t="s">
        <v>320</v>
      </c>
      <c r="F1392" s="42" t="s">
        <v>86</v>
      </c>
      <c r="G1392" s="619" t="s">
        <v>52</v>
      </c>
      <c r="H1392" s="620"/>
      <c r="I1392" s="613" t="s">
        <v>53</v>
      </c>
    </row>
    <row r="1393" spans="1:9" s="17" customFormat="1" ht="16.5" customHeight="1" x14ac:dyDescent="0.2">
      <c r="A1393" s="193" t="s">
        <v>87</v>
      </c>
      <c r="B1393" s="617"/>
      <c r="C1393" s="618"/>
      <c r="D1393" s="412" t="s">
        <v>537</v>
      </c>
      <c r="E1393" s="44" t="s">
        <v>571</v>
      </c>
      <c r="F1393" s="44" t="s">
        <v>571</v>
      </c>
      <c r="G1393" s="29" t="s">
        <v>55</v>
      </c>
      <c r="H1393" s="29" t="s">
        <v>56</v>
      </c>
      <c r="I1393" s="614"/>
    </row>
    <row r="1394" spans="1:9" s="17" customFormat="1" ht="16.5" customHeight="1" x14ac:dyDescent="0.2">
      <c r="A1394" s="150">
        <v>1</v>
      </c>
      <c r="B1394" s="717">
        <v>2</v>
      </c>
      <c r="C1394" s="718"/>
      <c r="D1394" s="149">
        <v>3</v>
      </c>
      <c r="E1394" s="149">
        <v>4</v>
      </c>
      <c r="F1394" s="149">
        <v>5</v>
      </c>
      <c r="G1394" s="149">
        <v>6</v>
      </c>
      <c r="H1394" s="149">
        <v>7</v>
      </c>
      <c r="I1394" s="150">
        <v>8</v>
      </c>
    </row>
    <row r="1395" spans="1:9" s="17" customFormat="1" ht="16.5" customHeight="1" x14ac:dyDescent="0.2">
      <c r="A1395" s="64">
        <v>50013</v>
      </c>
      <c r="B1395" s="744" t="s">
        <v>89</v>
      </c>
      <c r="C1395" s="745"/>
      <c r="D1395" s="65">
        <f t="shared" ref="D1395:F1404" si="65">D237</f>
        <v>16887</v>
      </c>
      <c r="E1395" s="407">
        <f t="shared" si="65"/>
        <v>14000</v>
      </c>
      <c r="F1395" s="65">
        <f t="shared" si="65"/>
        <v>14674</v>
      </c>
      <c r="G1395" s="298">
        <f>F1395/D1395</f>
        <v>0.86895244862912302</v>
      </c>
      <c r="H1395" s="68">
        <f t="shared" ref="H1395:H1406" si="66">F1395/E1395</f>
        <v>1.048142857142857</v>
      </c>
      <c r="I1395" s="69">
        <f>F1395/F1405</f>
        <v>0.10156177002910367</v>
      </c>
    </row>
    <row r="1396" spans="1:9" s="17" customFormat="1" ht="16.5" customHeight="1" x14ac:dyDescent="0.2">
      <c r="A1396" s="64">
        <v>50014</v>
      </c>
      <c r="B1396" s="662" t="s">
        <v>90</v>
      </c>
      <c r="C1396" s="663"/>
      <c r="D1396" s="65">
        <f t="shared" si="65"/>
        <v>6453</v>
      </c>
      <c r="E1396" s="407">
        <f t="shared" si="65"/>
        <v>10000</v>
      </c>
      <c r="F1396" s="65">
        <f t="shared" si="65"/>
        <v>8491</v>
      </c>
      <c r="G1396" s="299">
        <f>F1396/D1396</f>
        <v>1.3158220982488764</v>
      </c>
      <c r="H1396" s="68">
        <f t="shared" si="66"/>
        <v>0.84909999999999997</v>
      </c>
      <c r="I1396" s="69">
        <f>F1396/F1405</f>
        <v>5.8767956202611368E-2</v>
      </c>
    </row>
    <row r="1397" spans="1:9" s="17" customFormat="1" ht="16.5" customHeight="1" x14ac:dyDescent="0.2">
      <c r="A1397" s="64">
        <v>50015</v>
      </c>
      <c r="B1397" s="662" t="s">
        <v>91</v>
      </c>
      <c r="C1397" s="663"/>
      <c r="D1397" s="65">
        <f t="shared" si="65"/>
        <v>5941</v>
      </c>
      <c r="E1397" s="407">
        <f t="shared" si="65"/>
        <v>5000</v>
      </c>
      <c r="F1397" s="65">
        <f t="shared" si="65"/>
        <v>4843</v>
      </c>
      <c r="G1397" s="299">
        <f>F1397/D1397</f>
        <v>0.81518262918700557</v>
      </c>
      <c r="H1397" s="68">
        <f t="shared" si="66"/>
        <v>0.96860000000000002</v>
      </c>
      <c r="I1397" s="69">
        <f>F1397/F1405</f>
        <v>3.3519398408814849E-2</v>
      </c>
    </row>
    <row r="1398" spans="1:9" s="17" customFormat="1" ht="16.5" customHeight="1" x14ac:dyDescent="0.2">
      <c r="A1398" s="64">
        <v>50016</v>
      </c>
      <c r="B1398" s="662" t="s">
        <v>321</v>
      </c>
      <c r="C1398" s="663"/>
      <c r="D1398" s="65">
        <f t="shared" si="65"/>
        <v>121167</v>
      </c>
      <c r="E1398" s="407">
        <f t="shared" si="65"/>
        <v>135000</v>
      </c>
      <c r="F1398" s="65">
        <f t="shared" si="65"/>
        <v>102803</v>
      </c>
      <c r="G1398" s="299">
        <f>F1398/D1398</f>
        <v>0.84844058200665196</v>
      </c>
      <c r="H1398" s="68">
        <f t="shared" si="66"/>
        <v>0.76150370370370368</v>
      </c>
      <c r="I1398" s="69">
        <f>F1398/F1405</f>
        <v>0.71152069267425</v>
      </c>
    </row>
    <row r="1399" spans="1:9" s="17" customFormat="1" ht="16.5" customHeight="1" x14ac:dyDescent="0.2">
      <c r="A1399" s="64">
        <v>50017</v>
      </c>
      <c r="B1399" s="660" t="s">
        <v>418</v>
      </c>
      <c r="C1399" s="661"/>
      <c r="D1399" s="65">
        <f t="shared" si="65"/>
        <v>4022</v>
      </c>
      <c r="E1399" s="407">
        <f t="shared" si="65"/>
        <v>3500</v>
      </c>
      <c r="F1399" s="65">
        <f t="shared" si="65"/>
        <v>5502</v>
      </c>
      <c r="G1399" s="299">
        <f>F1399/D1399</f>
        <v>1.3679761312779712</v>
      </c>
      <c r="H1399" s="68">
        <f t="shared" si="66"/>
        <v>1.5720000000000001</v>
      </c>
      <c r="I1399" s="69">
        <f>F1399/F1405</f>
        <v>3.8080472856762193E-2</v>
      </c>
    </row>
    <row r="1400" spans="1:9" s="17" customFormat="1" ht="16.5" customHeight="1" x14ac:dyDescent="0.2">
      <c r="A1400" s="64">
        <v>50018</v>
      </c>
      <c r="B1400" s="662" t="s">
        <v>93</v>
      </c>
      <c r="C1400" s="663"/>
      <c r="D1400" s="65">
        <f t="shared" si="65"/>
        <v>6068</v>
      </c>
      <c r="E1400" s="407">
        <f t="shared" si="65"/>
        <v>7000</v>
      </c>
      <c r="F1400" s="65">
        <f t="shared" si="65"/>
        <v>5162.5</v>
      </c>
      <c r="G1400" s="299">
        <f>F1400/D1401</f>
        <v>1.1554386750223813</v>
      </c>
      <c r="H1400" s="68">
        <f t="shared" si="66"/>
        <v>0.73750000000000004</v>
      </c>
      <c r="I1400" s="69">
        <f>F1400/F1405</f>
        <v>3.5730723577432719E-2</v>
      </c>
    </row>
    <row r="1401" spans="1:9" s="17" customFormat="1" ht="16.5" customHeight="1" x14ac:dyDescent="0.2">
      <c r="A1401" s="64">
        <v>50019</v>
      </c>
      <c r="B1401" s="662" t="s">
        <v>94</v>
      </c>
      <c r="C1401" s="663"/>
      <c r="D1401" s="65">
        <f t="shared" si="65"/>
        <v>4468</v>
      </c>
      <c r="E1401" s="407">
        <f t="shared" si="65"/>
        <v>5500</v>
      </c>
      <c r="F1401" s="65">
        <f t="shared" si="65"/>
        <v>8</v>
      </c>
      <c r="G1401" s="299">
        <f>F1401/D1401</f>
        <v>1.7905102954341987E-3</v>
      </c>
      <c r="H1401" s="68">
        <f t="shared" si="66"/>
        <v>1.4545454545454545E-3</v>
      </c>
      <c r="I1401" s="69">
        <f>F1401/F1405</f>
        <v>5.5369644284641498E-5</v>
      </c>
    </row>
    <row r="1402" spans="1:9" s="17" customFormat="1" ht="16.5" customHeight="1" x14ac:dyDescent="0.2">
      <c r="A1402" s="64">
        <v>50025</v>
      </c>
      <c r="B1402" s="662" t="s">
        <v>95</v>
      </c>
      <c r="C1402" s="663"/>
      <c r="D1402" s="65">
        <f t="shared" si="65"/>
        <v>0</v>
      </c>
      <c r="E1402" s="407">
        <f t="shared" si="65"/>
        <v>0</v>
      </c>
      <c r="F1402" s="65">
        <f t="shared" si="65"/>
        <v>0</v>
      </c>
      <c r="G1402" s="299" t="e">
        <f>F1402/D1402</f>
        <v>#DIV/0!</v>
      </c>
      <c r="H1402" s="68" t="e">
        <f t="shared" si="66"/>
        <v>#DIV/0!</v>
      </c>
      <c r="I1402" s="69">
        <f>F1402/F1405</f>
        <v>0</v>
      </c>
    </row>
    <row r="1403" spans="1:9" s="17" customFormat="1" ht="16.5" customHeight="1" x14ac:dyDescent="0.2">
      <c r="A1403" s="64">
        <v>50109</v>
      </c>
      <c r="B1403" s="564" t="s">
        <v>557</v>
      </c>
      <c r="C1403" s="563"/>
      <c r="D1403" s="65">
        <f t="shared" si="65"/>
        <v>0</v>
      </c>
      <c r="E1403" s="407">
        <f t="shared" si="65"/>
        <v>0</v>
      </c>
      <c r="F1403" s="65">
        <f t="shared" si="65"/>
        <v>3000</v>
      </c>
      <c r="G1403" s="299" t="e">
        <f t="shared" ref="G1403:G1404" si="67">F1403/D1403</f>
        <v>#DIV/0!</v>
      </c>
      <c r="H1403" s="68" t="e">
        <f t="shared" si="66"/>
        <v>#DIV/0!</v>
      </c>
      <c r="I1403" s="69">
        <f t="shared" ref="I1403" si="68">F1403/F1406</f>
        <v>2.0763616606740563E-2</v>
      </c>
    </row>
    <row r="1404" spans="1:9" s="17" customFormat="1" ht="16.5" customHeight="1" x14ac:dyDescent="0.2">
      <c r="A1404" s="64">
        <v>50408</v>
      </c>
      <c r="B1404" s="564" t="s">
        <v>428</v>
      </c>
      <c r="C1404" s="563"/>
      <c r="D1404" s="65">
        <f t="shared" si="65"/>
        <v>0</v>
      </c>
      <c r="E1404" s="407">
        <f t="shared" si="65"/>
        <v>0</v>
      </c>
      <c r="F1404" s="65">
        <f t="shared" si="65"/>
        <v>0</v>
      </c>
      <c r="G1404" s="299" t="e">
        <f t="shared" si="67"/>
        <v>#DIV/0!</v>
      </c>
      <c r="H1404" s="68" t="e">
        <f t="shared" si="66"/>
        <v>#DIV/0!</v>
      </c>
      <c r="I1404" s="69">
        <f>F1404/F1406</f>
        <v>0</v>
      </c>
    </row>
    <row r="1405" spans="1:9" s="17" customFormat="1" ht="16.5" customHeight="1" x14ac:dyDescent="0.2">
      <c r="A1405" s="28"/>
      <c r="B1405" s="664" t="s">
        <v>322</v>
      </c>
      <c r="C1405" s="665"/>
      <c r="D1405" s="73">
        <f>SUM(D1395:D1404)</f>
        <v>165006</v>
      </c>
      <c r="E1405" s="408">
        <f>E1395+E1396+E1397+E1398+E1399+E1400+E1401+E1402+E1403+E1404</f>
        <v>180000</v>
      </c>
      <c r="F1405" s="406">
        <f>SUM(F1395:F1404)</f>
        <v>144483.5</v>
      </c>
      <c r="G1405" s="300">
        <f>F1405/D1405</f>
        <v>0.87562573482176409</v>
      </c>
      <c r="H1405" s="301">
        <f t="shared" si="66"/>
        <v>0.8026861111111111</v>
      </c>
      <c r="I1405" s="302">
        <f>I1395+I1396+I1397+I1398+I1399+I1400+I1401+I1402+I1403+I1404</f>
        <v>1</v>
      </c>
    </row>
    <row r="1406" spans="1:9" s="17" customFormat="1" ht="16.5" customHeight="1" x14ac:dyDescent="0.2">
      <c r="A1406" s="149"/>
      <c r="B1406" s="625" t="s">
        <v>83</v>
      </c>
      <c r="C1406" s="626"/>
      <c r="D1406" s="507">
        <f>D1405</f>
        <v>165006</v>
      </c>
      <c r="E1406" s="507">
        <f>E1405</f>
        <v>180000</v>
      </c>
      <c r="F1406" s="507">
        <f>F1405</f>
        <v>144483.5</v>
      </c>
      <c r="G1406" s="170">
        <f>F1406/D1406</f>
        <v>0.87562573482176409</v>
      </c>
      <c r="H1406" s="155">
        <f t="shared" si="66"/>
        <v>0.8026861111111111</v>
      </c>
      <c r="I1406" s="200">
        <f>I1405</f>
        <v>1</v>
      </c>
    </row>
    <row r="1407" spans="1:9" s="17" customFormat="1" ht="16.5" customHeight="1" x14ac:dyDescent="0.2">
      <c r="A1407" s="335" t="s">
        <v>419</v>
      </c>
      <c r="B1407" s="623" t="s">
        <v>742</v>
      </c>
      <c r="C1407" s="623"/>
      <c r="D1407" s="623"/>
      <c r="E1407" s="623"/>
      <c r="F1407" s="623"/>
      <c r="G1407" s="623"/>
      <c r="H1407" s="623"/>
      <c r="I1407" s="623"/>
    </row>
    <row r="1408" spans="1:9" s="17" customFormat="1" ht="16.5" customHeight="1" x14ac:dyDescent="0.2">
      <c r="A1408" s="742" t="s">
        <v>743</v>
      </c>
      <c r="B1408" s="742"/>
      <c r="C1408" s="742"/>
      <c r="D1408" s="742"/>
      <c r="E1408" s="742"/>
      <c r="F1408" s="742"/>
      <c r="G1408" s="742"/>
      <c r="H1408" s="742"/>
      <c r="I1408" s="742"/>
    </row>
    <row r="1409" spans="1:9" s="17" customFormat="1" ht="16.5" customHeight="1" x14ac:dyDescent="0.2">
      <c r="A1409" s="623" t="s">
        <v>744</v>
      </c>
      <c r="B1409" s="623"/>
      <c r="C1409" s="623"/>
      <c r="D1409" s="623"/>
      <c r="E1409" s="623"/>
      <c r="F1409" s="623"/>
      <c r="G1409" s="623"/>
      <c r="H1409" s="623"/>
      <c r="I1409" s="623"/>
    </row>
    <row r="1410" spans="1:9" s="17" customFormat="1" ht="16.5" customHeight="1" x14ac:dyDescent="0.2">
      <c r="A1410" s="623" t="s">
        <v>745</v>
      </c>
      <c r="B1410" s="623"/>
      <c r="C1410" s="623"/>
      <c r="D1410" s="623"/>
      <c r="E1410" s="623"/>
      <c r="F1410" s="623"/>
      <c r="G1410" s="623"/>
      <c r="H1410" s="623"/>
      <c r="I1410" s="623"/>
    </row>
    <row r="1411" spans="1:9" s="17" customFormat="1" ht="16.5" customHeight="1" x14ac:dyDescent="0.2">
      <c r="A1411" s="303"/>
      <c r="B1411" s="303"/>
      <c r="C1411" s="303"/>
      <c r="D1411" s="303"/>
      <c r="E1411" s="303"/>
      <c r="F1411" s="303"/>
      <c r="G1411" s="303"/>
      <c r="H1411" s="303"/>
      <c r="I1411" s="303"/>
    </row>
    <row r="1412" spans="1:9" s="17" customFormat="1" ht="16.5" customHeight="1" x14ac:dyDescent="0.2">
      <c r="A1412" s="624" t="s">
        <v>493</v>
      </c>
      <c r="B1412" s="624"/>
      <c r="C1412" s="624"/>
      <c r="D1412" s="624"/>
      <c r="E1412" s="624"/>
      <c r="F1412" s="624"/>
      <c r="G1412" s="624"/>
      <c r="H1412" s="624"/>
      <c r="I1412" s="624"/>
    </row>
    <row r="1413" spans="1:9" s="17" customFormat="1" ht="16.5" customHeight="1" x14ac:dyDescent="0.2">
      <c r="A1413" s="145"/>
      <c r="B1413" s="145"/>
      <c r="C1413" s="145"/>
      <c r="D1413" s="145"/>
      <c r="E1413" s="605" t="s">
        <v>84</v>
      </c>
      <c r="F1413" s="145"/>
      <c r="G1413" s="145"/>
      <c r="H1413" s="145"/>
      <c r="I1413" s="145"/>
    </row>
    <row r="1414" spans="1:9" s="17" customFormat="1" ht="16.5" customHeight="1" x14ac:dyDescent="0.2">
      <c r="A1414" s="224"/>
      <c r="B1414" s="247"/>
      <c r="C1414" s="15"/>
      <c r="D1414" s="156"/>
      <c r="E1414" s="605"/>
      <c r="F1414" s="156"/>
      <c r="G1414" s="224"/>
      <c r="H1414" s="156"/>
      <c r="I1414" s="156"/>
    </row>
    <row r="1415" spans="1:9" s="17" customFormat="1" ht="16.5" customHeight="1" x14ac:dyDescent="0.2">
      <c r="A1415" s="192" t="s">
        <v>48</v>
      </c>
      <c r="B1415" s="615" t="s">
        <v>49</v>
      </c>
      <c r="C1415" s="616"/>
      <c r="D1415" s="411" t="s">
        <v>85</v>
      </c>
      <c r="E1415" s="409" t="s">
        <v>152</v>
      </c>
      <c r="F1415" s="42" t="s">
        <v>86</v>
      </c>
      <c r="G1415" s="619" t="s">
        <v>52</v>
      </c>
      <c r="H1415" s="620"/>
      <c r="I1415" s="613" t="s">
        <v>53</v>
      </c>
    </row>
    <row r="1416" spans="1:9" s="17" customFormat="1" ht="16.5" customHeight="1" x14ac:dyDescent="0.2">
      <c r="A1416" s="193" t="s">
        <v>87</v>
      </c>
      <c r="B1416" s="617"/>
      <c r="C1416" s="618"/>
      <c r="D1416" s="412" t="s">
        <v>537</v>
      </c>
      <c r="E1416" s="44" t="s">
        <v>571</v>
      </c>
      <c r="F1416" s="44" t="s">
        <v>571</v>
      </c>
      <c r="G1416" s="29" t="s">
        <v>55</v>
      </c>
      <c r="H1416" s="29" t="s">
        <v>56</v>
      </c>
      <c r="I1416" s="614"/>
    </row>
    <row r="1417" spans="1:9" s="17" customFormat="1" ht="16.5" customHeight="1" x14ac:dyDescent="0.2">
      <c r="A1417" s="164">
        <v>1</v>
      </c>
      <c r="B1417" s="717">
        <v>2</v>
      </c>
      <c r="C1417" s="718"/>
      <c r="D1417" s="147">
        <v>3</v>
      </c>
      <c r="E1417" s="147">
        <v>4</v>
      </c>
      <c r="F1417" s="147">
        <v>5</v>
      </c>
      <c r="G1417" s="147">
        <v>6</v>
      </c>
      <c r="H1417" s="147">
        <v>7</v>
      </c>
      <c r="I1417" s="164">
        <v>8</v>
      </c>
    </row>
    <row r="1418" spans="1:9" s="17" customFormat="1" ht="16.5" customHeight="1" x14ac:dyDescent="0.2">
      <c r="A1418" s="86">
        <v>111</v>
      </c>
      <c r="B1418" s="601" t="s">
        <v>184</v>
      </c>
      <c r="C1418" s="602"/>
      <c r="D1418" s="6">
        <f>D616</f>
        <v>338572</v>
      </c>
      <c r="E1418" s="6">
        <f>E616</f>
        <v>383174.21</v>
      </c>
      <c r="F1418" s="6">
        <f>F616</f>
        <v>383174.21</v>
      </c>
      <c r="G1418" s="89">
        <f t="shared" ref="G1418:G1423" si="69">F1418/D1418</f>
        <v>1.1317362628923833</v>
      </c>
      <c r="H1418" s="90">
        <f t="shared" ref="H1418:H1423" si="70">F1418/E1418</f>
        <v>1</v>
      </c>
      <c r="I1418" s="92">
        <f>F1418/F1423</f>
        <v>0.12040231647778708</v>
      </c>
    </row>
    <row r="1419" spans="1:9" s="17" customFormat="1" ht="16.5" customHeight="1" x14ac:dyDescent="0.2">
      <c r="A1419" s="86">
        <v>130</v>
      </c>
      <c r="B1419" s="601" t="s">
        <v>185</v>
      </c>
      <c r="C1419" s="602"/>
      <c r="D1419" s="6">
        <f>D837</f>
        <v>1021690.87</v>
      </c>
      <c r="E1419" s="6">
        <f>E837</f>
        <v>2377158.52</v>
      </c>
      <c r="F1419" s="6">
        <f>F837</f>
        <v>2366761.0099999998</v>
      </c>
      <c r="G1419" s="89">
        <f t="shared" si="69"/>
        <v>2.3165138100920877</v>
      </c>
      <c r="H1419" s="90">
        <f t="shared" si="70"/>
        <v>0.99562607629549238</v>
      </c>
      <c r="I1419" s="92">
        <f>F1419/F1423</f>
        <v>0.74369177443676848</v>
      </c>
    </row>
    <row r="1420" spans="1:9" s="17" customFormat="1" ht="16.5" customHeight="1" x14ac:dyDescent="0.2">
      <c r="A1420" s="86">
        <v>132</v>
      </c>
      <c r="B1420" s="601" t="s">
        <v>186</v>
      </c>
      <c r="C1420" s="602"/>
      <c r="D1420" s="6">
        <f>D949</f>
        <v>115800</v>
      </c>
      <c r="E1420" s="6">
        <f>E949</f>
        <v>122500</v>
      </c>
      <c r="F1420" s="6">
        <f>F949</f>
        <v>122453.56</v>
      </c>
      <c r="G1420" s="89">
        <f t="shared" si="69"/>
        <v>1.0574573402417962</v>
      </c>
      <c r="H1420" s="90">
        <f t="shared" si="70"/>
        <v>0.99962089795918363</v>
      </c>
      <c r="I1420" s="92">
        <f>F1420/F1423</f>
        <v>3.8477778253791367E-2</v>
      </c>
    </row>
    <row r="1421" spans="1:9" s="17" customFormat="1" ht="16.5" customHeight="1" x14ac:dyDescent="0.2">
      <c r="A1421" s="86">
        <v>200</v>
      </c>
      <c r="B1421" s="601" t="s">
        <v>187</v>
      </c>
      <c r="C1421" s="602"/>
      <c r="D1421" s="6">
        <f>D1061</f>
        <v>0</v>
      </c>
      <c r="E1421" s="6">
        <f>E1061</f>
        <v>0</v>
      </c>
      <c r="F1421" s="6">
        <f>F1061</f>
        <v>0</v>
      </c>
      <c r="G1421" s="91" t="e">
        <f t="shared" si="69"/>
        <v>#DIV/0!</v>
      </c>
      <c r="H1421" s="92" t="e">
        <f t="shared" si="70"/>
        <v>#DIV/0!</v>
      </c>
      <c r="I1421" s="92">
        <f>F1421/F1423</f>
        <v>0</v>
      </c>
    </row>
    <row r="1422" spans="1:9" s="17" customFormat="1" ht="16.5" customHeight="1" x14ac:dyDescent="0.2">
      <c r="A1422" s="86">
        <v>300</v>
      </c>
      <c r="B1422" s="601" t="s">
        <v>188</v>
      </c>
      <c r="C1422" s="602"/>
      <c r="D1422" s="6">
        <f>D1171</f>
        <v>199167.68</v>
      </c>
      <c r="E1422" s="6">
        <f>E1171</f>
        <v>325000</v>
      </c>
      <c r="F1422" s="6">
        <f>F1171</f>
        <v>310060.03999999998</v>
      </c>
      <c r="G1422" s="89">
        <f t="shared" si="69"/>
        <v>1.5567788910329226</v>
      </c>
      <c r="H1422" s="90">
        <f t="shared" si="70"/>
        <v>0.95403089230769222</v>
      </c>
      <c r="I1422" s="92">
        <f>F1422/F1423</f>
        <v>9.7428130831653095E-2</v>
      </c>
    </row>
    <row r="1423" spans="1:9" s="17" customFormat="1" ht="16.5" customHeight="1" x14ac:dyDescent="0.2">
      <c r="A1423" s="168"/>
      <c r="B1423" s="625" t="s">
        <v>83</v>
      </c>
      <c r="C1423" s="626"/>
      <c r="D1423" s="508">
        <f>D1418+D1419+D1420+D1421+D1422</f>
        <v>1675230.55</v>
      </c>
      <c r="E1423" s="508">
        <f>E1418+E1419+E1420+E1421+E1422</f>
        <v>3207832.73</v>
      </c>
      <c r="F1423" s="414">
        <f>F1418+F1419+F1420+F1421+F1422</f>
        <v>3182448.82</v>
      </c>
      <c r="G1423" s="200">
        <f t="shared" si="69"/>
        <v>1.8997079655692763</v>
      </c>
      <c r="H1423" s="206">
        <f t="shared" si="70"/>
        <v>0.99208689724915922</v>
      </c>
      <c r="I1423" s="206">
        <f>SUM(I1418:I1422)</f>
        <v>1</v>
      </c>
    </row>
    <row r="1424" spans="1:9" s="17" customFormat="1" ht="16.5" customHeight="1" x14ac:dyDescent="0.2">
      <c r="A1424" s="20"/>
      <c r="B1424" s="20"/>
      <c r="C1424" s="20"/>
      <c r="D1424" s="20"/>
      <c r="E1424" s="20"/>
      <c r="F1424" s="20"/>
      <c r="G1424" s="20"/>
      <c r="H1424" s="20"/>
      <c r="I1424" s="20"/>
    </row>
    <row r="1425" spans="1:9" s="17" customFormat="1" ht="16.5" customHeight="1" x14ac:dyDescent="0.2">
      <c r="A1425" s="264"/>
      <c r="B1425" s="627" t="s">
        <v>1062</v>
      </c>
      <c r="C1425" s="627"/>
      <c r="D1425" s="627"/>
      <c r="E1425" s="627"/>
      <c r="F1425" s="627"/>
      <c r="G1425" s="627"/>
      <c r="H1425" s="627"/>
      <c r="I1425" s="627"/>
    </row>
    <row r="1426" spans="1:9" s="17" customFormat="1" ht="16.5" customHeight="1" x14ac:dyDescent="0.2">
      <c r="A1426" s="627" t="s">
        <v>1063</v>
      </c>
      <c r="B1426" s="627"/>
      <c r="C1426" s="627"/>
      <c r="D1426" s="627"/>
      <c r="E1426" s="627"/>
      <c r="F1426" s="627"/>
      <c r="G1426" s="627"/>
      <c r="H1426" s="627"/>
      <c r="I1426" s="627"/>
    </row>
    <row r="1427" spans="1:9" s="17" customFormat="1" ht="16.5" customHeight="1" x14ac:dyDescent="0.2">
      <c r="A1427" s="220" t="s">
        <v>746</v>
      </c>
      <c r="B1427" s="220"/>
      <c r="C1427" s="220"/>
      <c r="D1427" s="220"/>
      <c r="E1427" s="220"/>
      <c r="F1427" s="220"/>
      <c r="G1427" s="220"/>
      <c r="H1427" s="220"/>
      <c r="I1427" s="220"/>
    </row>
    <row r="1428" spans="1:9" s="17" customFormat="1" ht="16.5" customHeight="1" x14ac:dyDescent="0.2">
      <c r="A1428" s="621" t="s">
        <v>747</v>
      </c>
      <c r="B1428" s="621"/>
      <c r="C1428" s="621"/>
      <c r="D1428" s="621"/>
      <c r="E1428" s="621"/>
      <c r="F1428" s="621"/>
      <c r="G1428" s="621"/>
      <c r="H1428" s="621"/>
      <c r="I1428" s="621"/>
    </row>
    <row r="1429" spans="1:9" s="17" customFormat="1" ht="16.5" customHeight="1" x14ac:dyDescent="0.2">
      <c r="A1429" s="621" t="s">
        <v>1064</v>
      </c>
      <c r="B1429" s="621"/>
      <c r="C1429" s="621"/>
      <c r="D1429" s="621"/>
      <c r="E1429" s="621"/>
      <c r="F1429" s="621"/>
      <c r="G1429" s="621"/>
      <c r="H1429" s="621"/>
      <c r="I1429" s="621"/>
    </row>
    <row r="1430" spans="1:9" s="17" customFormat="1" ht="16.5" customHeight="1" x14ac:dyDescent="0.2">
      <c r="A1430" s="621" t="s">
        <v>1065</v>
      </c>
      <c r="B1430" s="621"/>
      <c r="C1430" s="621"/>
      <c r="D1430" s="621"/>
      <c r="E1430" s="621"/>
      <c r="F1430" s="621"/>
      <c r="G1430" s="621"/>
      <c r="H1430" s="621"/>
      <c r="I1430" s="621"/>
    </row>
    <row r="1431" spans="1:9" s="17" customFormat="1" ht="16.5" customHeight="1" x14ac:dyDescent="0.2">
      <c r="A1431" s="621" t="s">
        <v>1066</v>
      </c>
      <c r="B1431" s="621"/>
      <c r="C1431" s="621"/>
      <c r="D1431" s="621"/>
      <c r="E1431" s="621"/>
      <c r="F1431" s="621"/>
      <c r="G1431" s="621"/>
      <c r="H1431" s="621"/>
      <c r="I1431" s="621"/>
    </row>
    <row r="1432" spans="1:9" s="17" customFormat="1" ht="16.5" customHeight="1" x14ac:dyDescent="0.2">
      <c r="A1432" s="621" t="s">
        <v>1067</v>
      </c>
      <c r="B1432" s="621"/>
      <c r="C1432" s="621"/>
      <c r="D1432" s="621"/>
      <c r="E1432" s="621"/>
      <c r="F1432" s="621"/>
      <c r="G1432" s="621"/>
      <c r="H1432" s="621"/>
      <c r="I1432" s="621"/>
    </row>
    <row r="1433" spans="1:9" s="17" customFormat="1" ht="16.5" customHeight="1" x14ac:dyDescent="0.2">
      <c r="A1433" s="621" t="s">
        <v>748</v>
      </c>
      <c r="B1433" s="621"/>
      <c r="C1433" s="621"/>
      <c r="D1433" s="621"/>
      <c r="E1433" s="621"/>
      <c r="F1433" s="621"/>
      <c r="G1433" s="621"/>
      <c r="H1433" s="621"/>
      <c r="I1433" s="621"/>
    </row>
    <row r="1434" spans="1:9" s="17" customFormat="1" ht="16.5" customHeight="1" x14ac:dyDescent="0.2">
      <c r="A1434" s="621" t="s">
        <v>1068</v>
      </c>
      <c r="B1434" s="621"/>
      <c r="C1434" s="621"/>
      <c r="D1434" s="621"/>
      <c r="E1434" s="621"/>
      <c r="F1434" s="621"/>
      <c r="G1434" s="621"/>
      <c r="H1434" s="621"/>
      <c r="I1434" s="621"/>
    </row>
    <row r="1435" spans="1:9" s="17" customFormat="1" ht="16.5" customHeight="1" x14ac:dyDescent="0.2">
      <c r="A1435" s="156" t="s">
        <v>749</v>
      </c>
      <c r="B1435" s="156"/>
      <c r="C1435" s="156"/>
      <c r="D1435" s="156"/>
      <c r="E1435" s="156"/>
      <c r="F1435" s="156"/>
      <c r="G1435" s="156"/>
      <c r="H1435" s="156"/>
      <c r="I1435" s="156"/>
    </row>
    <row r="1436" spans="1:9" s="17" customFormat="1" ht="16.5" customHeight="1" x14ac:dyDescent="0.2">
      <c r="A1436" s="156"/>
      <c r="B1436" s="156" t="s">
        <v>750</v>
      </c>
      <c r="C1436" s="156"/>
      <c r="D1436" s="156"/>
      <c r="E1436" s="156"/>
      <c r="F1436" s="156"/>
      <c r="G1436" s="156"/>
      <c r="H1436" s="156"/>
    </row>
    <row r="1437" spans="1:9" s="17" customFormat="1" ht="16.5" customHeight="1" x14ac:dyDescent="0.2">
      <c r="A1437" s="156" t="s">
        <v>751</v>
      </c>
      <c r="B1437" s="156"/>
      <c r="C1437" s="156"/>
      <c r="D1437" s="156"/>
      <c r="E1437" s="156"/>
      <c r="F1437" s="156"/>
      <c r="G1437" s="156"/>
      <c r="H1437" s="156"/>
      <c r="I1437" s="441"/>
    </row>
    <row r="1438" spans="1:9" s="17" customFormat="1" ht="16.5" customHeight="1" x14ac:dyDescent="0.2">
      <c r="A1438" s="156"/>
      <c r="B1438" s="156"/>
      <c r="C1438" s="156"/>
      <c r="D1438" s="156"/>
      <c r="E1438" s="156"/>
      <c r="F1438" s="156"/>
      <c r="G1438" s="156"/>
      <c r="H1438" s="156"/>
      <c r="I1438" s="441">
        <v>25</v>
      </c>
    </row>
    <row r="1439" spans="1:9" s="17" customFormat="1" ht="16.5" customHeight="1" x14ac:dyDescent="0.2">
      <c r="B1439" s="8" t="s">
        <v>323</v>
      </c>
      <c r="C1439" s="296"/>
      <c r="D1439" s="296"/>
      <c r="E1439" s="296"/>
      <c r="F1439" s="156"/>
    </row>
    <row r="1440" spans="1:9" s="17" customFormat="1" ht="16.5" customHeight="1" x14ac:dyDescent="0.2"/>
    <row r="1441" spans="1:9" s="17" customFormat="1" ht="16.5" customHeight="1" x14ac:dyDescent="0.2">
      <c r="B1441" s="603" t="s">
        <v>324</v>
      </c>
      <c r="C1441" s="603"/>
      <c r="D1441" s="603"/>
      <c r="E1441" s="603"/>
      <c r="F1441" s="603"/>
      <c r="G1441" s="603"/>
      <c r="H1441" s="603"/>
      <c r="I1441" s="603"/>
    </row>
    <row r="1442" spans="1:9" s="17" customFormat="1" ht="16.5" customHeight="1" x14ac:dyDescent="0.2">
      <c r="A1442" s="20"/>
      <c r="B1442" s="21"/>
      <c r="C1442" s="21"/>
      <c r="D1442" s="21"/>
      <c r="E1442" s="21"/>
      <c r="F1442" s="21"/>
      <c r="G1442" s="21"/>
      <c r="H1442" s="21"/>
      <c r="I1442" s="21"/>
    </row>
    <row r="1443" spans="1:9" s="17" customFormat="1" ht="16.5" customHeight="1" x14ac:dyDescent="0.2">
      <c r="A1443" s="20"/>
      <c r="B1443" s="746" t="s">
        <v>492</v>
      </c>
      <c r="C1443" s="746"/>
      <c r="D1443" s="746"/>
      <c r="E1443" s="746"/>
      <c r="F1443" s="746"/>
      <c r="G1443" s="746"/>
      <c r="H1443" s="746"/>
      <c r="I1443" s="746"/>
    </row>
    <row r="1444" spans="1:9" s="17" customFormat="1" ht="16.5" customHeight="1" x14ac:dyDescent="0.2">
      <c r="A1444" s="145"/>
      <c r="B1444" s="145"/>
      <c r="C1444" s="145"/>
      <c r="D1444" s="145"/>
      <c r="E1444" s="605" t="s">
        <v>84</v>
      </c>
      <c r="F1444" s="145"/>
      <c r="G1444" s="145"/>
      <c r="H1444" s="145"/>
      <c r="I1444" s="145"/>
    </row>
    <row r="1445" spans="1:9" s="17" customFormat="1" ht="16.5" customHeight="1" x14ac:dyDescent="0.2">
      <c r="A1445" s="224"/>
      <c r="B1445" s="247"/>
      <c r="C1445" s="15"/>
      <c r="D1445" s="156"/>
      <c r="E1445" s="605"/>
      <c r="F1445" s="156"/>
      <c r="G1445" s="224"/>
      <c r="H1445" s="156"/>
      <c r="I1445" s="156"/>
    </row>
    <row r="1446" spans="1:9" s="17" customFormat="1" ht="16.5" customHeight="1" x14ac:dyDescent="0.2">
      <c r="A1446" s="192" t="s">
        <v>48</v>
      </c>
      <c r="B1446" s="615" t="s">
        <v>49</v>
      </c>
      <c r="C1446" s="616"/>
      <c r="D1446" s="411" t="s">
        <v>85</v>
      </c>
      <c r="E1446" s="409" t="s">
        <v>152</v>
      </c>
      <c r="F1446" s="42" t="s">
        <v>86</v>
      </c>
      <c r="G1446" s="619" t="s">
        <v>52</v>
      </c>
      <c r="H1446" s="620"/>
      <c r="I1446" s="613" t="s">
        <v>53</v>
      </c>
    </row>
    <row r="1447" spans="1:9" s="17" customFormat="1" ht="12" customHeight="1" x14ac:dyDescent="0.2">
      <c r="A1447" s="193" t="s">
        <v>87</v>
      </c>
      <c r="B1447" s="617"/>
      <c r="C1447" s="618"/>
      <c r="D1447" s="412" t="s">
        <v>537</v>
      </c>
      <c r="E1447" s="44" t="s">
        <v>571</v>
      </c>
      <c r="F1447" s="44" t="s">
        <v>571</v>
      </c>
      <c r="G1447" s="29" t="s">
        <v>55</v>
      </c>
      <c r="H1447" s="29" t="s">
        <v>56</v>
      </c>
      <c r="I1447" s="614"/>
    </row>
    <row r="1448" spans="1:9" s="17" customFormat="1" ht="12" customHeight="1" x14ac:dyDescent="0.2">
      <c r="A1448" s="164">
        <v>1</v>
      </c>
      <c r="B1448" s="717">
        <v>2</v>
      </c>
      <c r="C1448" s="718"/>
      <c r="D1448" s="149">
        <v>3</v>
      </c>
      <c r="E1448" s="147">
        <v>4</v>
      </c>
      <c r="F1448" s="147">
        <v>5</v>
      </c>
      <c r="G1448" s="147">
        <v>6</v>
      </c>
      <c r="H1448" s="147">
        <v>7</v>
      </c>
      <c r="I1448" s="164">
        <v>8</v>
      </c>
    </row>
    <row r="1449" spans="1:9" s="17" customFormat="1" ht="16.5" customHeight="1" x14ac:dyDescent="0.2">
      <c r="A1449" s="86">
        <v>111</v>
      </c>
      <c r="B1449" s="601" t="s">
        <v>184</v>
      </c>
      <c r="C1449" s="602"/>
      <c r="D1449" s="110">
        <f>D617</f>
        <v>0</v>
      </c>
      <c r="E1449" s="110">
        <f>E617</f>
        <v>3490.76</v>
      </c>
      <c r="F1449" s="110">
        <f>F617</f>
        <v>3490.76</v>
      </c>
      <c r="G1449" s="91" t="e">
        <f t="shared" ref="G1449:G1454" si="71">F1449/D1449</f>
        <v>#DIV/0!</v>
      </c>
      <c r="H1449" s="92">
        <f t="shared" ref="H1449:H1454" si="72">F1449/E1449</f>
        <v>1</v>
      </c>
      <c r="I1449" s="92">
        <f>F1449/F1454</f>
        <v>0.34941003599441067</v>
      </c>
    </row>
    <row r="1450" spans="1:9" s="17" customFormat="1" ht="16.5" customHeight="1" x14ac:dyDescent="0.2">
      <c r="A1450" s="86">
        <v>130</v>
      </c>
      <c r="B1450" s="601" t="s">
        <v>185</v>
      </c>
      <c r="C1450" s="602"/>
      <c r="D1450" s="110">
        <f>D838</f>
        <v>2560.7600000000002</v>
      </c>
      <c r="E1450" s="110">
        <f>E838</f>
        <v>6500</v>
      </c>
      <c r="F1450" s="110">
        <f>F838</f>
        <v>6499.68</v>
      </c>
      <c r="G1450" s="91">
        <f t="shared" si="71"/>
        <v>2.5381839766319372</v>
      </c>
      <c r="H1450" s="92">
        <f t="shared" si="72"/>
        <v>0.99995076923076931</v>
      </c>
      <c r="I1450" s="92">
        <f>F1450/F1454</f>
        <v>0.65058996400558933</v>
      </c>
    </row>
    <row r="1451" spans="1:9" s="17" customFormat="1" ht="16.5" customHeight="1" x14ac:dyDescent="0.2">
      <c r="A1451" s="86">
        <v>132</v>
      </c>
      <c r="B1451" s="601" t="s">
        <v>186</v>
      </c>
      <c r="C1451" s="602"/>
      <c r="D1451" s="110">
        <f>D950</f>
        <v>0</v>
      </c>
      <c r="E1451" s="110">
        <f>E950</f>
        <v>0</v>
      </c>
      <c r="F1451" s="110">
        <f>F950</f>
        <v>0</v>
      </c>
      <c r="G1451" s="91" t="e">
        <f t="shared" si="71"/>
        <v>#DIV/0!</v>
      </c>
      <c r="H1451" s="92" t="e">
        <f t="shared" si="72"/>
        <v>#DIV/0!</v>
      </c>
      <c r="I1451" s="92">
        <f>F1451/F1454</f>
        <v>0</v>
      </c>
    </row>
    <row r="1452" spans="1:9" s="17" customFormat="1" ht="16.5" customHeight="1" x14ac:dyDescent="0.2">
      <c r="A1452" s="86">
        <v>200</v>
      </c>
      <c r="B1452" s="601" t="s">
        <v>187</v>
      </c>
      <c r="C1452" s="602"/>
      <c r="D1452" s="110">
        <f>D1062</f>
        <v>0</v>
      </c>
      <c r="E1452" s="110">
        <f>E1062</f>
        <v>0</v>
      </c>
      <c r="F1452" s="110">
        <f>F1062</f>
        <v>0</v>
      </c>
      <c r="G1452" s="91" t="e">
        <f t="shared" si="71"/>
        <v>#DIV/0!</v>
      </c>
      <c r="H1452" s="92" t="e">
        <f t="shared" si="72"/>
        <v>#DIV/0!</v>
      </c>
      <c r="I1452" s="92">
        <f>F1452/F1454</f>
        <v>0</v>
      </c>
    </row>
    <row r="1453" spans="1:9" s="17" customFormat="1" ht="16.5" customHeight="1" x14ac:dyDescent="0.2">
      <c r="A1453" s="86">
        <v>300</v>
      </c>
      <c r="B1453" s="601" t="s">
        <v>188</v>
      </c>
      <c r="C1453" s="602"/>
      <c r="D1453" s="110">
        <f>D1172</f>
        <v>0</v>
      </c>
      <c r="E1453" s="110">
        <f>E1172</f>
        <v>0</v>
      </c>
      <c r="F1453" s="110">
        <f>F1172</f>
        <v>0</v>
      </c>
      <c r="G1453" s="91" t="e">
        <f t="shared" si="71"/>
        <v>#DIV/0!</v>
      </c>
      <c r="H1453" s="92" t="e">
        <f t="shared" si="72"/>
        <v>#DIV/0!</v>
      </c>
      <c r="I1453" s="92">
        <f>F1453/F1454</f>
        <v>0</v>
      </c>
    </row>
    <row r="1454" spans="1:9" s="17" customFormat="1" ht="16.5" customHeight="1" x14ac:dyDescent="0.2">
      <c r="A1454" s="168"/>
      <c r="B1454" s="625" t="s">
        <v>83</v>
      </c>
      <c r="C1454" s="626"/>
      <c r="D1454" s="509">
        <f>D1449+D1450+D1451+D1452+D1453</f>
        <v>2560.7600000000002</v>
      </c>
      <c r="E1454" s="509">
        <f>E1449+E1450+E1451+E1452+E1453</f>
        <v>9990.76</v>
      </c>
      <c r="F1454" s="414">
        <f>F1449+F1450+F1451+F1452+F1453</f>
        <v>9990.44</v>
      </c>
      <c r="G1454" s="170">
        <f t="shared" si="71"/>
        <v>3.9013574095190489</v>
      </c>
      <c r="H1454" s="206">
        <f t="shared" si="72"/>
        <v>0.99996797040465391</v>
      </c>
      <c r="I1454" s="206">
        <f>SUM(I1449:I1453)</f>
        <v>1</v>
      </c>
    </row>
    <row r="1455" spans="1:9" s="17" customFormat="1" ht="16.5" customHeight="1" x14ac:dyDescent="0.2">
      <c r="A1455" s="201"/>
      <c r="B1455" s="259"/>
      <c r="C1455" s="293"/>
      <c r="D1455" s="293"/>
      <c r="E1455" s="187"/>
      <c r="F1455" s="188"/>
      <c r="G1455" s="294"/>
      <c r="H1455" s="294"/>
      <c r="I1455" s="280"/>
    </row>
    <row r="1456" spans="1:9" s="17" customFormat="1" ht="16.5" customHeight="1" x14ac:dyDescent="0.2">
      <c r="A1456" s="264"/>
      <c r="B1456" s="627" t="s">
        <v>752</v>
      </c>
      <c r="C1456" s="627"/>
      <c r="D1456" s="627"/>
      <c r="E1456" s="627"/>
      <c r="F1456" s="627"/>
      <c r="G1456" s="627"/>
      <c r="H1456" s="627"/>
      <c r="I1456" s="627"/>
    </row>
    <row r="1457" spans="1:9" s="17" customFormat="1" ht="16.5" customHeight="1" x14ac:dyDescent="0.2">
      <c r="A1457" s="627" t="s">
        <v>753</v>
      </c>
      <c r="B1457" s="627"/>
      <c r="C1457" s="627"/>
      <c r="D1457" s="627"/>
      <c r="E1457" s="627"/>
      <c r="F1457" s="627"/>
      <c r="G1457" s="627"/>
      <c r="H1457" s="627"/>
      <c r="I1457" s="627"/>
    </row>
    <row r="1458" spans="1:9" s="17" customFormat="1" ht="16.5" customHeight="1" x14ac:dyDescent="0.2">
      <c r="A1458" s="156"/>
      <c r="B1458" s="621" t="s">
        <v>754</v>
      </c>
      <c r="C1458" s="621"/>
      <c r="D1458" s="621"/>
      <c r="E1458" s="621"/>
      <c r="F1458" s="621"/>
      <c r="G1458" s="621"/>
      <c r="H1458" s="621"/>
      <c r="I1458" s="621"/>
    </row>
    <row r="1459" spans="1:9" s="17" customFormat="1" ht="16.5" customHeight="1" x14ac:dyDescent="0.2">
      <c r="A1459" s="621" t="s">
        <v>755</v>
      </c>
      <c r="B1459" s="621"/>
      <c r="C1459" s="621"/>
      <c r="D1459" s="621"/>
      <c r="E1459" s="621"/>
      <c r="F1459" s="621"/>
      <c r="G1459" s="621"/>
      <c r="H1459" s="621"/>
      <c r="I1459" s="621"/>
    </row>
    <row r="1460" spans="1:9" s="17" customFormat="1" ht="16.5" customHeight="1" x14ac:dyDescent="0.2">
      <c r="A1460" s="621" t="s">
        <v>756</v>
      </c>
      <c r="B1460" s="621"/>
      <c r="C1460" s="621"/>
      <c r="D1460" s="621"/>
      <c r="E1460" s="621"/>
      <c r="F1460" s="621"/>
      <c r="G1460" s="621"/>
      <c r="H1460" s="621"/>
      <c r="I1460" s="621"/>
    </row>
    <row r="1461" spans="1:9" s="17" customFormat="1" ht="16.5" customHeight="1" x14ac:dyDescent="0.2">
      <c r="A1461" s="603" t="s">
        <v>558</v>
      </c>
      <c r="B1461" s="603"/>
      <c r="C1461" s="603"/>
      <c r="D1461" s="603"/>
      <c r="E1461" s="603"/>
      <c r="F1461" s="603"/>
      <c r="G1461" s="603"/>
      <c r="H1461" s="603"/>
      <c r="I1461" s="603"/>
    </row>
    <row r="1462" spans="1:9" s="17" customFormat="1" ht="16.5" customHeight="1" x14ac:dyDescent="0.2">
      <c r="A1462" s="603"/>
      <c r="B1462" s="603"/>
      <c r="C1462" s="603"/>
      <c r="D1462" s="603"/>
      <c r="E1462" s="603"/>
      <c r="F1462" s="603"/>
      <c r="G1462" s="603"/>
      <c r="H1462" s="603"/>
      <c r="I1462" s="603"/>
    </row>
    <row r="1463" spans="1:9" s="17" customFormat="1" ht="16.5" customHeight="1" x14ac:dyDescent="0.2">
      <c r="E1463" s="21"/>
      <c r="F1463" s="21"/>
      <c r="G1463" s="21"/>
      <c r="H1463" s="21"/>
      <c r="I1463" s="21"/>
    </row>
    <row r="1464" spans="1:9" s="17" customFormat="1" ht="16.5" customHeight="1" x14ac:dyDescent="0.2">
      <c r="E1464" s="21"/>
      <c r="F1464" s="21"/>
      <c r="G1464" s="21"/>
      <c r="H1464" s="21"/>
      <c r="I1464" s="21"/>
    </row>
    <row r="1465" spans="1:9" s="17" customFormat="1" ht="16.5" customHeight="1" x14ac:dyDescent="0.3">
      <c r="B1465" s="366" t="s">
        <v>325</v>
      </c>
      <c r="C1465" s="304"/>
      <c r="E1465" s="21"/>
      <c r="F1465" s="21"/>
      <c r="G1465" s="21"/>
      <c r="H1465" s="21"/>
      <c r="I1465" s="21"/>
    </row>
    <row r="1466" spans="1:9" s="17" customFormat="1" ht="16.5" customHeight="1" x14ac:dyDescent="0.2">
      <c r="A1466" s="20"/>
      <c r="B1466" s="20"/>
      <c r="C1466" s="20"/>
      <c r="D1466" s="21"/>
      <c r="E1466" s="21"/>
      <c r="F1466" s="21"/>
      <c r="G1466" s="21"/>
      <c r="H1466" s="21"/>
      <c r="I1466" s="21"/>
    </row>
    <row r="1467" spans="1:9" s="17" customFormat="1" ht="16.5" customHeight="1" x14ac:dyDescent="0.2">
      <c r="A1467" s="20"/>
      <c r="B1467" s="603" t="s">
        <v>326</v>
      </c>
      <c r="C1467" s="603"/>
      <c r="D1467" s="603"/>
      <c r="E1467" s="603"/>
      <c r="F1467" s="603"/>
      <c r="G1467" s="603"/>
      <c r="H1467" s="603"/>
      <c r="I1467" s="603"/>
    </row>
    <row r="1468" spans="1:9" s="17" customFormat="1" ht="16.5" customHeight="1" x14ac:dyDescent="0.2">
      <c r="A1468" s="145"/>
      <c r="B1468" s="145"/>
      <c r="C1468" s="145"/>
      <c r="D1468" s="145"/>
      <c r="E1468" s="605" t="s">
        <v>84</v>
      </c>
      <c r="F1468" s="145"/>
      <c r="G1468" s="145"/>
      <c r="H1468" s="145"/>
      <c r="I1468" s="145"/>
    </row>
    <row r="1469" spans="1:9" s="17" customFormat="1" ht="16.5" customHeight="1" x14ac:dyDescent="0.2">
      <c r="A1469" s="224"/>
      <c r="B1469" s="247"/>
      <c r="C1469" s="15"/>
      <c r="D1469" s="156"/>
      <c r="E1469" s="605"/>
      <c r="F1469" s="156"/>
      <c r="G1469" s="224"/>
      <c r="H1469" s="156"/>
      <c r="I1469" s="156"/>
    </row>
    <row r="1470" spans="1:9" s="17" customFormat="1" ht="16.5" customHeight="1" x14ac:dyDescent="0.2">
      <c r="A1470" s="192" t="s">
        <v>48</v>
      </c>
      <c r="B1470" s="615" t="s">
        <v>49</v>
      </c>
      <c r="C1470" s="616"/>
      <c r="D1470" s="411" t="s">
        <v>85</v>
      </c>
      <c r="E1470" s="409" t="s">
        <v>152</v>
      </c>
      <c r="F1470" s="42" t="s">
        <v>86</v>
      </c>
      <c r="G1470" s="619" t="s">
        <v>52</v>
      </c>
      <c r="H1470" s="620"/>
      <c r="I1470" s="613" t="s">
        <v>53</v>
      </c>
    </row>
    <row r="1471" spans="1:9" s="17" customFormat="1" ht="16.5" customHeight="1" x14ac:dyDescent="0.2">
      <c r="A1471" s="193" t="s">
        <v>87</v>
      </c>
      <c r="B1471" s="617"/>
      <c r="C1471" s="618"/>
      <c r="D1471" s="412" t="s">
        <v>579</v>
      </c>
      <c r="E1471" s="44" t="s">
        <v>571</v>
      </c>
      <c r="F1471" s="44" t="s">
        <v>571</v>
      </c>
      <c r="G1471" s="29" t="s">
        <v>55</v>
      </c>
      <c r="H1471" s="29" t="s">
        <v>56</v>
      </c>
      <c r="I1471" s="614"/>
    </row>
    <row r="1472" spans="1:9" s="17" customFormat="1" ht="16.5" customHeight="1" x14ac:dyDescent="0.2">
      <c r="A1472" s="194">
        <v>1</v>
      </c>
      <c r="B1472" s="749">
        <v>2</v>
      </c>
      <c r="C1472" s="750"/>
      <c r="D1472" s="305">
        <v>3</v>
      </c>
      <c r="E1472" s="197">
        <v>4</v>
      </c>
      <c r="F1472" s="197">
        <v>5</v>
      </c>
      <c r="G1472" s="197">
        <v>6</v>
      </c>
      <c r="H1472" s="197">
        <v>7</v>
      </c>
      <c r="I1472" s="194">
        <v>8</v>
      </c>
    </row>
    <row r="1473" spans="1:9" s="17" customFormat="1" ht="16.5" customHeight="1" x14ac:dyDescent="0.2">
      <c r="A1473" s="86">
        <v>111</v>
      </c>
      <c r="B1473" s="601" t="s">
        <v>184</v>
      </c>
      <c r="C1473" s="602"/>
      <c r="D1473" s="110">
        <f>D618</f>
        <v>7765.48</v>
      </c>
      <c r="E1473" s="110">
        <f>E618</f>
        <v>12539.7</v>
      </c>
      <c r="F1473" s="110">
        <f>F618</f>
        <v>12539.7</v>
      </c>
      <c r="G1473" s="91">
        <f t="shared" ref="G1473:G1478" si="73">F1473/D1473</f>
        <v>1.6148003729325169</v>
      </c>
      <c r="H1473" s="92">
        <f t="shared" ref="H1473:H1478" si="74">F1473/E1473</f>
        <v>1</v>
      </c>
      <c r="I1473" s="92">
        <f>F1473/F1478</f>
        <v>0.83161678394026006</v>
      </c>
    </row>
    <row r="1474" spans="1:9" s="17" customFormat="1" ht="16.5" customHeight="1" x14ac:dyDescent="0.2">
      <c r="A1474" s="86">
        <v>130</v>
      </c>
      <c r="B1474" s="601" t="s">
        <v>185</v>
      </c>
      <c r="C1474" s="602"/>
      <c r="D1474" s="110">
        <f>D839</f>
        <v>3287.86</v>
      </c>
      <c r="E1474" s="110">
        <f>E839</f>
        <v>2800</v>
      </c>
      <c r="F1474" s="110">
        <f>F839</f>
        <v>2539</v>
      </c>
      <c r="G1474" s="91">
        <f t="shared" si="73"/>
        <v>0.77223482751698669</v>
      </c>
      <c r="H1474" s="92">
        <f t="shared" si="74"/>
        <v>0.90678571428571431</v>
      </c>
      <c r="I1474" s="92">
        <f>F1474/F1478</f>
        <v>0.16838321605973988</v>
      </c>
    </row>
    <row r="1475" spans="1:9" s="17" customFormat="1" ht="16.5" customHeight="1" x14ac:dyDescent="0.2">
      <c r="A1475" s="86">
        <v>132</v>
      </c>
      <c r="B1475" s="601" t="s">
        <v>186</v>
      </c>
      <c r="C1475" s="602"/>
      <c r="D1475" s="110">
        <f>D951</f>
        <v>0</v>
      </c>
      <c r="E1475" s="110">
        <f>E951</f>
        <v>0</v>
      </c>
      <c r="F1475" s="110">
        <f>F951</f>
        <v>0</v>
      </c>
      <c r="G1475" s="91" t="e">
        <f t="shared" si="73"/>
        <v>#DIV/0!</v>
      </c>
      <c r="H1475" s="92" t="e">
        <f t="shared" si="74"/>
        <v>#DIV/0!</v>
      </c>
      <c r="I1475" s="92">
        <f>F1475/F1478</f>
        <v>0</v>
      </c>
    </row>
    <row r="1476" spans="1:9" s="17" customFormat="1" ht="16.5" customHeight="1" x14ac:dyDescent="0.2">
      <c r="A1476" s="86">
        <v>200</v>
      </c>
      <c r="B1476" s="601" t="s">
        <v>187</v>
      </c>
      <c r="C1476" s="602"/>
      <c r="D1476" s="110">
        <f>D1063</f>
        <v>0</v>
      </c>
      <c r="E1476" s="110">
        <f>E1063</f>
        <v>0</v>
      </c>
      <c r="F1476" s="110">
        <f>F1063</f>
        <v>0</v>
      </c>
      <c r="G1476" s="91" t="e">
        <f t="shared" si="73"/>
        <v>#DIV/0!</v>
      </c>
      <c r="H1476" s="92" t="e">
        <f t="shared" si="74"/>
        <v>#DIV/0!</v>
      </c>
      <c r="I1476" s="92">
        <f>F1476/F1478</f>
        <v>0</v>
      </c>
    </row>
    <row r="1477" spans="1:9" s="17" customFormat="1" ht="16.5" customHeight="1" x14ac:dyDescent="0.2">
      <c r="A1477" s="86">
        <v>300</v>
      </c>
      <c r="B1477" s="601" t="s">
        <v>188</v>
      </c>
      <c r="C1477" s="602"/>
      <c r="D1477" s="110">
        <f>D1173</f>
        <v>0</v>
      </c>
      <c r="E1477" s="110">
        <f>E1173</f>
        <v>0</v>
      </c>
      <c r="F1477" s="110">
        <f>F1173</f>
        <v>0</v>
      </c>
      <c r="G1477" s="91" t="e">
        <f t="shared" si="73"/>
        <v>#DIV/0!</v>
      </c>
      <c r="H1477" s="92" t="e">
        <f t="shared" si="74"/>
        <v>#DIV/0!</v>
      </c>
      <c r="I1477" s="92">
        <f>F1477/F1478</f>
        <v>0</v>
      </c>
    </row>
    <row r="1478" spans="1:9" s="17" customFormat="1" ht="16.5" customHeight="1" x14ac:dyDescent="0.2">
      <c r="A1478" s="306"/>
      <c r="B1478" s="747" t="s">
        <v>83</v>
      </c>
      <c r="C1478" s="748"/>
      <c r="D1478" s="510">
        <f>D1473+D1474+D1475+D1476+D1477</f>
        <v>11053.34</v>
      </c>
      <c r="E1478" s="510">
        <f>E1473+E1474+E1475+E1476+E1477</f>
        <v>15339.7</v>
      </c>
      <c r="F1478" s="510">
        <f>F1473+F1474+F1475+F1476+F1477</f>
        <v>15078.7</v>
      </c>
      <c r="G1478" s="307">
        <f t="shared" si="73"/>
        <v>1.3641758961544657</v>
      </c>
      <c r="H1478" s="308">
        <f t="shared" si="74"/>
        <v>0.98298532565825925</v>
      </c>
      <c r="I1478" s="308">
        <f>SUM(I1473:I1477)</f>
        <v>1</v>
      </c>
    </row>
    <row r="1479" spans="1:9" s="17" customFormat="1" ht="16.5" customHeight="1" x14ac:dyDescent="0.2">
      <c r="A1479" s="276"/>
      <c r="B1479" s="276"/>
      <c r="C1479" s="276"/>
      <c r="D1479" s="276"/>
      <c r="E1479" s="276"/>
      <c r="F1479" s="276"/>
      <c r="G1479" s="276"/>
      <c r="H1479" s="276"/>
      <c r="I1479" s="20"/>
    </row>
    <row r="1480" spans="1:9" s="17" customFormat="1" ht="16.5" customHeight="1" x14ac:dyDescent="0.2">
      <c r="A1480" s="264"/>
      <c r="B1480" s="627" t="s">
        <v>757</v>
      </c>
      <c r="C1480" s="627"/>
      <c r="D1480" s="627"/>
      <c r="E1480" s="627"/>
      <c r="F1480" s="627"/>
      <c r="G1480" s="627"/>
      <c r="H1480" s="627"/>
      <c r="I1480" s="627"/>
    </row>
    <row r="1481" spans="1:9" s="17" customFormat="1" ht="16.5" customHeight="1" x14ac:dyDescent="0.2">
      <c r="A1481" s="627" t="s">
        <v>758</v>
      </c>
      <c r="B1481" s="627"/>
      <c r="C1481" s="627"/>
      <c r="D1481" s="627"/>
      <c r="E1481" s="627"/>
      <c r="F1481" s="627"/>
      <c r="G1481" s="627"/>
      <c r="H1481" s="627"/>
      <c r="I1481" s="627"/>
    </row>
    <row r="1482" spans="1:9" s="17" customFormat="1" ht="16.5" customHeight="1" x14ac:dyDescent="0.2">
      <c r="A1482" s="156" t="s">
        <v>510</v>
      </c>
      <c r="B1482" s="156" t="s">
        <v>760</v>
      </c>
      <c r="C1482" s="156"/>
      <c r="D1482" s="156"/>
      <c r="E1482" s="156"/>
      <c r="F1482" s="156"/>
      <c r="G1482" s="156"/>
      <c r="H1482" s="156"/>
      <c r="I1482" s="156"/>
    </row>
    <row r="1483" spans="1:9" s="17" customFormat="1" ht="16.5" customHeight="1" x14ac:dyDescent="0.2">
      <c r="A1483" s="156" t="s">
        <v>759</v>
      </c>
      <c r="B1483" s="156"/>
      <c r="C1483" s="156"/>
      <c r="D1483" s="156"/>
      <c r="E1483" s="156"/>
      <c r="F1483" s="156"/>
      <c r="G1483" s="156"/>
      <c r="H1483" s="156"/>
      <c r="I1483" s="156"/>
    </row>
    <row r="1484" spans="1:9" s="17" customFormat="1" ht="16.5" customHeight="1" x14ac:dyDescent="0.2">
      <c r="A1484" s="621" t="s">
        <v>559</v>
      </c>
      <c r="B1484" s="621"/>
      <c r="C1484" s="621"/>
      <c r="D1484" s="621"/>
      <c r="E1484" s="621"/>
      <c r="F1484" s="621"/>
      <c r="G1484" s="621"/>
      <c r="H1484" s="621"/>
      <c r="I1484" s="621"/>
    </row>
    <row r="1485" spans="1:9" s="17" customFormat="1" ht="16.5" customHeight="1" x14ac:dyDescent="0.2">
      <c r="A1485" s="621"/>
      <c r="B1485" s="621"/>
      <c r="C1485" s="621"/>
      <c r="D1485" s="621"/>
      <c r="E1485" s="621"/>
      <c r="F1485" s="621"/>
      <c r="G1485" s="621"/>
      <c r="H1485" s="621"/>
      <c r="I1485" s="621"/>
    </row>
    <row r="1486" spans="1:9" s="17" customFormat="1" ht="16.5" customHeight="1" x14ac:dyDescent="0.2">
      <c r="A1486" s="621" t="s">
        <v>511</v>
      </c>
      <c r="B1486" s="621"/>
      <c r="C1486" s="621"/>
      <c r="D1486" s="621"/>
      <c r="E1486" s="621"/>
      <c r="F1486" s="621"/>
      <c r="G1486" s="621"/>
      <c r="H1486" s="621"/>
      <c r="I1486" s="621"/>
    </row>
    <row r="1487" spans="1:9" s="17" customFormat="1" ht="16.5" customHeight="1" x14ac:dyDescent="0.2">
      <c r="A1487" s="621"/>
      <c r="B1487" s="621"/>
      <c r="C1487" s="621"/>
      <c r="D1487" s="621"/>
      <c r="E1487" s="621"/>
      <c r="F1487" s="621"/>
      <c r="G1487" s="621"/>
      <c r="H1487" s="621"/>
      <c r="I1487" s="621"/>
    </row>
    <row r="1488" spans="1:9" s="17" customFormat="1" ht="16.5" customHeight="1" x14ac:dyDescent="0.2">
      <c r="A1488" s="145"/>
      <c r="B1488" s="621"/>
      <c r="C1488" s="621"/>
      <c r="D1488" s="621"/>
      <c r="E1488" s="621"/>
      <c r="F1488" s="621"/>
      <c r="G1488" s="621"/>
      <c r="H1488" s="621"/>
      <c r="I1488" s="621"/>
    </row>
    <row r="1489" spans="1:9" s="17" customFormat="1" ht="16.5" customHeight="1" x14ac:dyDescent="0.2">
      <c r="A1489" s="145"/>
      <c r="B1489" s="145"/>
      <c r="C1489" s="145"/>
      <c r="D1489" s="145"/>
      <c r="E1489" s="145"/>
      <c r="F1489" s="145"/>
      <c r="G1489" s="145"/>
      <c r="H1489" s="145"/>
      <c r="I1489" s="145"/>
    </row>
    <row r="1490" spans="1:9" s="17" customFormat="1" ht="16.5" customHeight="1" x14ac:dyDescent="0.2">
      <c r="A1490" s="145"/>
      <c r="B1490" s="145"/>
      <c r="C1490" s="145"/>
      <c r="D1490" s="145"/>
      <c r="E1490" s="145"/>
      <c r="F1490" s="145"/>
      <c r="G1490" s="145"/>
      <c r="H1490" s="145"/>
      <c r="I1490" s="145"/>
    </row>
    <row r="1491" spans="1:9" s="17" customFormat="1" ht="16.5" customHeight="1" x14ac:dyDescent="0.2">
      <c r="A1491" s="145"/>
      <c r="B1491" s="145"/>
      <c r="C1491" s="145"/>
      <c r="D1491" s="145"/>
      <c r="E1491" s="145"/>
      <c r="F1491" s="145"/>
      <c r="G1491" s="145"/>
      <c r="H1491" s="145"/>
      <c r="I1491" s="257"/>
    </row>
    <row r="1492" spans="1:9" s="17" customFormat="1" ht="16.5" customHeight="1" x14ac:dyDescent="0.2">
      <c r="A1492" s="145"/>
      <c r="B1492" s="145"/>
      <c r="C1492" s="145"/>
      <c r="D1492" s="145"/>
      <c r="E1492" s="145"/>
      <c r="F1492" s="145"/>
      <c r="G1492" s="145"/>
      <c r="H1492" s="145"/>
      <c r="I1492" s="145"/>
    </row>
    <row r="1493" spans="1:9" s="17" customFormat="1" ht="16.5" customHeight="1" x14ac:dyDescent="0.2">
      <c r="A1493" s="145"/>
      <c r="B1493" s="145"/>
      <c r="C1493" s="145"/>
      <c r="D1493" s="145"/>
      <c r="E1493" s="145"/>
      <c r="F1493" s="145"/>
      <c r="G1493" s="145"/>
      <c r="H1493" s="145"/>
      <c r="I1493" s="145"/>
    </row>
    <row r="1494" spans="1:9" s="17" customFormat="1" ht="16.5" customHeight="1" x14ac:dyDescent="0.2">
      <c r="A1494" s="145"/>
      <c r="B1494" s="145"/>
      <c r="C1494" s="145"/>
      <c r="D1494" s="145"/>
      <c r="E1494" s="145"/>
      <c r="F1494" s="145"/>
      <c r="G1494" s="145"/>
      <c r="H1494" s="145"/>
      <c r="I1494" s="257">
        <v>26</v>
      </c>
    </row>
    <row r="1495" spans="1:9" s="17" customFormat="1" ht="16.5" customHeight="1" x14ac:dyDescent="0.2">
      <c r="A1495" s="635" t="s">
        <v>420</v>
      </c>
      <c r="B1495" s="635"/>
      <c r="C1495" s="635"/>
      <c r="D1495" s="635"/>
      <c r="E1495" s="18"/>
      <c r="F1495" s="18"/>
      <c r="G1495" s="18"/>
      <c r="H1495" s="20"/>
      <c r="I1495" s="280"/>
    </row>
    <row r="1496" spans="1:9" s="17" customFormat="1" ht="16.5" customHeight="1" x14ac:dyDescent="0.2">
      <c r="A1496" s="20"/>
      <c r="B1496" s="20"/>
      <c r="C1496" s="20"/>
      <c r="D1496" s="20"/>
      <c r="E1496" s="20"/>
      <c r="F1496" s="20"/>
      <c r="G1496" s="20"/>
      <c r="H1496" s="297"/>
      <c r="I1496" s="280"/>
    </row>
    <row r="1497" spans="1:9" s="17" customFormat="1" ht="16.5" customHeight="1" x14ac:dyDescent="0.2">
      <c r="A1497" s="21"/>
      <c r="B1497" s="603" t="s">
        <v>761</v>
      </c>
      <c r="C1497" s="603"/>
      <c r="D1497" s="603"/>
      <c r="E1497" s="603"/>
      <c r="F1497" s="603"/>
      <c r="G1497" s="603"/>
      <c r="H1497" s="603"/>
      <c r="I1497" s="603"/>
    </row>
    <row r="1498" spans="1:9" s="17" customFormat="1" ht="16.5" customHeight="1" x14ac:dyDescent="0.2">
      <c r="A1498" s="603" t="s">
        <v>762</v>
      </c>
      <c r="B1498" s="603"/>
      <c r="C1498" s="603"/>
      <c r="D1498" s="603"/>
      <c r="E1498" s="603"/>
      <c r="F1498" s="603"/>
      <c r="G1498" s="603"/>
      <c r="H1498" s="603"/>
      <c r="I1498" s="603"/>
    </row>
    <row r="1499" spans="1:9" s="17" customFormat="1" ht="16.5" customHeight="1" x14ac:dyDescent="0.2">
      <c r="A1499" s="21"/>
      <c r="B1499" s="603"/>
      <c r="C1499" s="603"/>
      <c r="D1499" s="603"/>
      <c r="E1499" s="603"/>
      <c r="F1499" s="603"/>
      <c r="G1499" s="603"/>
      <c r="H1499" s="603"/>
      <c r="I1499" s="603"/>
    </row>
    <row r="1500" spans="1:9" s="17" customFormat="1" ht="16.5" customHeight="1" x14ac:dyDescent="0.2">
      <c r="A1500" s="21"/>
      <c r="B1500" s="21" t="s">
        <v>327</v>
      </c>
      <c r="C1500" s="21"/>
      <c r="D1500" s="21"/>
      <c r="E1500" s="21"/>
      <c r="F1500" s="21"/>
      <c r="G1500" s="21"/>
      <c r="H1500" s="21"/>
      <c r="I1500" s="224"/>
    </row>
    <row r="1501" spans="1:9" s="17" customFormat="1" ht="16.5" customHeight="1" x14ac:dyDescent="0.2">
      <c r="A1501" s="145"/>
      <c r="B1501" s="145"/>
      <c r="C1501" s="145"/>
      <c r="D1501" s="145"/>
      <c r="E1501" s="605" t="s">
        <v>84</v>
      </c>
      <c r="F1501" s="145"/>
      <c r="G1501" s="145"/>
      <c r="H1501" s="145"/>
      <c r="I1501" s="145"/>
    </row>
    <row r="1502" spans="1:9" s="17" customFormat="1" ht="16.5" customHeight="1" x14ac:dyDescent="0.2">
      <c r="A1502" s="224"/>
      <c r="B1502" s="247"/>
      <c r="C1502" s="15"/>
      <c r="D1502" s="156"/>
      <c r="E1502" s="605"/>
      <c r="F1502" s="156"/>
      <c r="G1502" s="224"/>
      <c r="H1502" s="156"/>
      <c r="I1502" s="156"/>
    </row>
    <row r="1503" spans="1:9" s="17" customFormat="1" ht="16.5" customHeight="1" x14ac:dyDescent="0.2">
      <c r="A1503" s="192" t="s">
        <v>48</v>
      </c>
      <c r="B1503" s="615" t="s">
        <v>49</v>
      </c>
      <c r="C1503" s="616"/>
      <c r="D1503" s="411" t="s">
        <v>85</v>
      </c>
      <c r="E1503" s="409" t="s">
        <v>320</v>
      </c>
      <c r="F1503" s="42" t="s">
        <v>86</v>
      </c>
      <c r="G1503" s="619" t="s">
        <v>52</v>
      </c>
      <c r="H1503" s="620"/>
      <c r="I1503" s="613" t="s">
        <v>53</v>
      </c>
    </row>
    <row r="1504" spans="1:9" s="17" customFormat="1" ht="12" customHeight="1" x14ac:dyDescent="0.2">
      <c r="A1504" s="193" t="s">
        <v>87</v>
      </c>
      <c r="B1504" s="617"/>
      <c r="C1504" s="618"/>
      <c r="D1504" s="412" t="s">
        <v>537</v>
      </c>
      <c r="E1504" s="44" t="s">
        <v>571</v>
      </c>
      <c r="F1504" s="44" t="s">
        <v>571</v>
      </c>
      <c r="G1504" s="29" t="s">
        <v>55</v>
      </c>
      <c r="H1504" s="29" t="s">
        <v>56</v>
      </c>
      <c r="I1504" s="614"/>
    </row>
    <row r="1505" spans="1:9" s="17" customFormat="1" ht="12" customHeight="1" x14ac:dyDescent="0.2">
      <c r="A1505" s="194">
        <v>1</v>
      </c>
      <c r="B1505" s="749">
        <v>2</v>
      </c>
      <c r="C1505" s="750"/>
      <c r="D1505" s="196">
        <v>3</v>
      </c>
      <c r="E1505" s="197">
        <v>4</v>
      </c>
      <c r="F1505" s="197">
        <v>5</v>
      </c>
      <c r="G1505" s="197">
        <v>6</v>
      </c>
      <c r="H1505" s="197">
        <v>7</v>
      </c>
      <c r="I1505" s="194">
        <v>8</v>
      </c>
    </row>
    <row r="1506" spans="1:9" s="17" customFormat="1" ht="16.5" customHeight="1" x14ac:dyDescent="0.2">
      <c r="A1506" s="84">
        <v>50104</v>
      </c>
      <c r="B1506" s="658" t="s">
        <v>99</v>
      </c>
      <c r="C1506" s="659"/>
      <c r="D1506" s="79">
        <f t="shared" ref="D1506:F1510" si="75">D249</f>
        <v>15350</v>
      </c>
      <c r="E1506" s="511">
        <f t="shared" si="75"/>
        <v>18000</v>
      </c>
      <c r="F1506" s="79">
        <f t="shared" si="75"/>
        <v>12866.7</v>
      </c>
      <c r="G1506" s="91">
        <f t="shared" ref="G1506:G1513" si="76">F1506/D1506</f>
        <v>0.83822149837133553</v>
      </c>
      <c r="H1506" s="92">
        <f t="shared" ref="H1506:H1513" si="77">F1506/E1506</f>
        <v>0.71481666666666666</v>
      </c>
      <c r="I1506" s="92">
        <f>F1506/F1511</f>
        <v>0.37730377077975591</v>
      </c>
    </row>
    <row r="1507" spans="1:9" s="17" customFormat="1" ht="16.5" customHeight="1" x14ac:dyDescent="0.2">
      <c r="A1507" s="84">
        <v>50205</v>
      </c>
      <c r="B1507" s="658" t="s">
        <v>100</v>
      </c>
      <c r="C1507" s="659"/>
      <c r="D1507" s="79">
        <f t="shared" si="75"/>
        <v>8900</v>
      </c>
      <c r="E1507" s="511">
        <f t="shared" si="75"/>
        <v>18000</v>
      </c>
      <c r="F1507" s="79">
        <f t="shared" si="75"/>
        <v>21235</v>
      </c>
      <c r="G1507" s="91">
        <f t="shared" si="76"/>
        <v>2.3859550561797751</v>
      </c>
      <c r="H1507" s="92">
        <f t="shared" si="77"/>
        <v>1.1797222222222221</v>
      </c>
      <c r="I1507" s="92">
        <f>F1507/F1511</f>
        <v>0.62269622922024426</v>
      </c>
    </row>
    <row r="1508" spans="1:9" s="17" customFormat="1" ht="16.5" customHeight="1" x14ac:dyDescent="0.2">
      <c r="A1508" s="84">
        <v>50501</v>
      </c>
      <c r="B1508" s="751" t="s">
        <v>421</v>
      </c>
      <c r="C1508" s="752"/>
      <c r="D1508" s="79">
        <f t="shared" si="75"/>
        <v>0</v>
      </c>
      <c r="E1508" s="511">
        <f t="shared" si="75"/>
        <v>1000</v>
      </c>
      <c r="F1508" s="79">
        <f t="shared" si="75"/>
        <v>0</v>
      </c>
      <c r="G1508" s="91" t="e">
        <f t="shared" si="76"/>
        <v>#DIV/0!</v>
      </c>
      <c r="H1508" s="92">
        <f t="shared" si="77"/>
        <v>0</v>
      </c>
      <c r="I1508" s="92">
        <f>F1508/F1513</f>
        <v>0</v>
      </c>
    </row>
    <row r="1509" spans="1:9" s="17" customFormat="1" ht="16.5" customHeight="1" x14ac:dyDescent="0.2">
      <c r="A1509" s="82">
        <v>50505</v>
      </c>
      <c r="B1509" s="751" t="s">
        <v>329</v>
      </c>
      <c r="C1509" s="752"/>
      <c r="D1509" s="79">
        <f t="shared" si="75"/>
        <v>0</v>
      </c>
      <c r="E1509" s="511">
        <f t="shared" si="75"/>
        <v>0</v>
      </c>
      <c r="F1509" s="79">
        <f t="shared" si="75"/>
        <v>0</v>
      </c>
      <c r="G1509" s="91" t="e">
        <f t="shared" si="76"/>
        <v>#DIV/0!</v>
      </c>
      <c r="H1509" s="92" t="e">
        <f t="shared" si="77"/>
        <v>#DIV/0!</v>
      </c>
      <c r="I1509" s="92">
        <f>F1509/F1513</f>
        <v>0</v>
      </c>
    </row>
    <row r="1510" spans="1:9" s="17" customFormat="1" ht="16.5" customHeight="1" x14ac:dyDescent="0.2">
      <c r="A1510" s="84">
        <v>50507</v>
      </c>
      <c r="B1510" s="658" t="s">
        <v>330</v>
      </c>
      <c r="C1510" s="659"/>
      <c r="D1510" s="79">
        <f t="shared" si="75"/>
        <v>70</v>
      </c>
      <c r="E1510" s="511">
        <f t="shared" si="75"/>
        <v>5000</v>
      </c>
      <c r="F1510" s="79">
        <f t="shared" si="75"/>
        <v>0</v>
      </c>
      <c r="G1510" s="91">
        <f t="shared" si="76"/>
        <v>0</v>
      </c>
      <c r="H1510" s="92">
        <f t="shared" si="77"/>
        <v>0</v>
      </c>
      <c r="I1510" s="92">
        <f>F1510/F1511</f>
        <v>0</v>
      </c>
    </row>
    <row r="1511" spans="1:9" s="17" customFormat="1" ht="16.5" customHeight="1" x14ac:dyDescent="0.2">
      <c r="A1511" s="84"/>
      <c r="B1511" s="680" t="s">
        <v>96</v>
      </c>
      <c r="C1511" s="681"/>
      <c r="D1511" s="361">
        <f>D1506+D1507+D1508+D1509+D1510</f>
        <v>24320</v>
      </c>
      <c r="E1511" s="361">
        <f t="shared" ref="E1511" si="78">E1506+E1507+E1508+E1509+E1510</f>
        <v>42000</v>
      </c>
      <c r="F1511" s="361">
        <f>F1506+F1507+F1508+F1509+F1510</f>
        <v>34101.699999999997</v>
      </c>
      <c r="G1511" s="124">
        <f>F1511/D1511</f>
        <v>1.4022080592105262</v>
      </c>
      <c r="H1511" s="136">
        <f>F1511/E1511</f>
        <v>0.811945238095238</v>
      </c>
      <c r="I1511" s="136">
        <f>F1511/F1513</f>
        <v>0.30887346510673719</v>
      </c>
    </row>
    <row r="1512" spans="1:9" s="17" customFormat="1" ht="16.5" customHeight="1" x14ac:dyDescent="0.2">
      <c r="A1512" s="94">
        <v>50102</v>
      </c>
      <c r="B1512" s="753" t="s">
        <v>328</v>
      </c>
      <c r="C1512" s="754"/>
      <c r="D1512" s="361">
        <f>D255</f>
        <v>58954.45</v>
      </c>
      <c r="E1512" s="361">
        <f>E255</f>
        <v>0</v>
      </c>
      <c r="F1512" s="361">
        <f>F255</f>
        <v>76305</v>
      </c>
      <c r="G1512" s="124">
        <f>F1512/D1512</f>
        <v>1.2943043315644536</v>
      </c>
      <c r="H1512" s="136" t="e">
        <f>F1512/E1512</f>
        <v>#DIV/0!</v>
      </c>
      <c r="I1512" s="136">
        <f>F1512/F1513</f>
        <v>0.69112653489326281</v>
      </c>
    </row>
    <row r="1513" spans="1:9" s="17" customFormat="1" ht="16.5" customHeight="1" x14ac:dyDescent="0.2">
      <c r="A1513" s="306"/>
      <c r="B1513" s="747" t="s">
        <v>331</v>
      </c>
      <c r="C1513" s="748"/>
      <c r="D1513" s="543">
        <f>D1511+D1512</f>
        <v>83274.45</v>
      </c>
      <c r="E1513" s="543">
        <f t="shared" ref="E1513" si="79">E1511+E1512</f>
        <v>42000</v>
      </c>
      <c r="F1513" s="543">
        <f>F1511+F1512</f>
        <v>110406.7</v>
      </c>
      <c r="G1513" s="307">
        <f t="shared" si="76"/>
        <v>1.3258172224493827</v>
      </c>
      <c r="H1513" s="309">
        <f t="shared" si="77"/>
        <v>2.6287309523809523</v>
      </c>
      <c r="I1513" s="309">
        <f>I1511+I1512</f>
        <v>1</v>
      </c>
    </row>
    <row r="1514" spans="1:9" s="17" customFormat="1" ht="16.5" customHeight="1" x14ac:dyDescent="0.2">
      <c r="A1514" s="201"/>
      <c r="B1514" s="310"/>
      <c r="C1514" s="310"/>
      <c r="D1514" s="311"/>
      <c r="E1514" s="187"/>
      <c r="F1514" s="188"/>
      <c r="G1514" s="294"/>
      <c r="H1514" s="294"/>
      <c r="I1514" s="249"/>
    </row>
    <row r="1515" spans="1:9" s="17" customFormat="1" ht="16.5" customHeight="1" x14ac:dyDescent="0.2">
      <c r="A1515" s="201"/>
      <c r="B1515" s="310"/>
      <c r="C1515" s="310"/>
      <c r="D1515" s="311"/>
      <c r="E1515" s="187"/>
      <c r="F1515" s="188"/>
      <c r="G1515" s="294"/>
      <c r="H1515" s="294"/>
      <c r="I1515" s="249"/>
    </row>
    <row r="1516" spans="1:9" s="17" customFormat="1" ht="16.5" customHeight="1" x14ac:dyDescent="0.2">
      <c r="A1516" s="623" t="s">
        <v>763</v>
      </c>
      <c r="B1516" s="623"/>
      <c r="C1516" s="623"/>
      <c r="D1516" s="623"/>
      <c r="E1516" s="623"/>
      <c r="F1516" s="623"/>
      <c r="G1516" s="623"/>
      <c r="H1516" s="623"/>
      <c r="I1516" s="623"/>
    </row>
    <row r="1517" spans="1:9" s="17" customFormat="1" ht="16.5" customHeight="1" x14ac:dyDescent="0.2">
      <c r="A1517" s="623" t="s">
        <v>764</v>
      </c>
      <c r="B1517" s="623"/>
      <c r="C1517" s="623"/>
      <c r="D1517" s="623"/>
      <c r="E1517" s="623"/>
      <c r="F1517" s="623"/>
      <c r="G1517" s="623"/>
      <c r="H1517" s="623"/>
      <c r="I1517" s="623"/>
    </row>
    <row r="1518" spans="1:9" s="17" customFormat="1" ht="16.5" customHeight="1" x14ac:dyDescent="0.2">
      <c r="A1518" s="623" t="s">
        <v>765</v>
      </c>
      <c r="B1518" s="623"/>
      <c r="C1518" s="623"/>
      <c r="D1518" s="623"/>
      <c r="E1518" s="623"/>
      <c r="F1518" s="623"/>
      <c r="G1518" s="623"/>
      <c r="H1518" s="623"/>
      <c r="I1518" s="623"/>
    </row>
    <row r="1519" spans="1:9" s="17" customFormat="1" ht="16.5" customHeight="1" x14ac:dyDescent="0.2">
      <c r="A1519" s="419"/>
      <c r="B1519" s="755" t="s">
        <v>1023</v>
      </c>
      <c r="C1519" s="755"/>
      <c r="D1519" s="755"/>
      <c r="E1519" s="755"/>
      <c r="F1519" s="755"/>
      <c r="G1519" s="755"/>
      <c r="H1519" s="755"/>
      <c r="I1519" s="755"/>
    </row>
    <row r="1520" spans="1:9" s="17" customFormat="1" ht="16.5" customHeight="1" x14ac:dyDescent="0.2">
      <c r="A1520" s="419" t="s">
        <v>1024</v>
      </c>
      <c r="B1520" s="419"/>
      <c r="C1520" s="419"/>
      <c r="D1520" s="419"/>
      <c r="E1520" s="419"/>
      <c r="F1520" s="419"/>
      <c r="G1520" s="419"/>
      <c r="H1520" s="419"/>
      <c r="I1520" s="419"/>
    </row>
    <row r="1521" spans="1:11" s="17" customFormat="1" ht="16.5" customHeight="1" x14ac:dyDescent="0.2">
      <c r="A1521" s="303"/>
      <c r="B1521" s="623" t="s">
        <v>332</v>
      </c>
      <c r="C1521" s="623"/>
      <c r="D1521" s="623"/>
      <c r="E1521" s="623"/>
      <c r="F1521" s="623"/>
      <c r="G1521" s="623"/>
      <c r="H1521" s="623"/>
      <c r="I1521" s="623"/>
    </row>
    <row r="1522" spans="1:11" s="17" customFormat="1" ht="16.5" customHeight="1" x14ac:dyDescent="0.2">
      <c r="B1522" s="17" t="s">
        <v>190</v>
      </c>
    </row>
    <row r="1523" spans="1:11" s="17" customFormat="1" ht="16.5" customHeight="1" x14ac:dyDescent="0.2">
      <c r="B1523" s="304" t="s">
        <v>492</v>
      </c>
      <c r="C1523" s="304"/>
      <c r="D1523" s="304"/>
      <c r="E1523" s="304"/>
      <c r="F1523" s="304"/>
      <c r="G1523" s="304"/>
    </row>
    <row r="1524" spans="1:11" s="17" customFormat="1" ht="16.5" customHeight="1" x14ac:dyDescent="0.2">
      <c r="A1524" s="145"/>
      <c r="B1524" s="145"/>
      <c r="C1524" s="145"/>
      <c r="D1524" s="145"/>
      <c r="E1524" s="605" t="s">
        <v>84</v>
      </c>
      <c r="F1524" s="145"/>
      <c r="G1524" s="145"/>
      <c r="H1524" s="145"/>
      <c r="I1524" s="145"/>
    </row>
    <row r="1525" spans="1:11" s="17" customFormat="1" ht="16.5" customHeight="1" x14ac:dyDescent="0.2">
      <c r="A1525" s="224"/>
      <c r="B1525" s="247"/>
      <c r="C1525" s="15"/>
      <c r="D1525" s="156"/>
      <c r="E1525" s="605"/>
      <c r="F1525" s="156"/>
      <c r="G1525" s="224"/>
      <c r="H1525" s="156"/>
      <c r="I1525" s="156"/>
    </row>
    <row r="1526" spans="1:11" s="17" customFormat="1" ht="16.5" customHeight="1" x14ac:dyDescent="0.2">
      <c r="A1526" s="192" t="s">
        <v>48</v>
      </c>
      <c r="B1526" s="615" t="s">
        <v>49</v>
      </c>
      <c r="C1526" s="616"/>
      <c r="D1526" s="411" t="s">
        <v>85</v>
      </c>
      <c r="E1526" s="409" t="s">
        <v>152</v>
      </c>
      <c r="F1526" s="42" t="s">
        <v>86</v>
      </c>
      <c r="G1526" s="619" t="s">
        <v>52</v>
      </c>
      <c r="H1526" s="620"/>
      <c r="I1526" s="613" t="s">
        <v>53</v>
      </c>
    </row>
    <row r="1527" spans="1:11" s="17" customFormat="1" ht="12" customHeight="1" x14ac:dyDescent="0.2">
      <c r="A1527" s="193" t="s">
        <v>87</v>
      </c>
      <c r="B1527" s="617"/>
      <c r="C1527" s="618"/>
      <c r="D1527" s="412" t="s">
        <v>537</v>
      </c>
      <c r="E1527" s="44" t="s">
        <v>571</v>
      </c>
      <c r="F1527" s="44" t="s">
        <v>571</v>
      </c>
      <c r="G1527" s="29" t="s">
        <v>55</v>
      </c>
      <c r="H1527" s="29" t="s">
        <v>56</v>
      </c>
      <c r="I1527" s="614"/>
    </row>
    <row r="1528" spans="1:11" s="17" customFormat="1" ht="12" customHeight="1" x14ac:dyDescent="0.2">
      <c r="A1528" s="164">
        <v>1</v>
      </c>
      <c r="B1528" s="717">
        <v>2</v>
      </c>
      <c r="C1528" s="718"/>
      <c r="D1528" s="163">
        <v>3</v>
      </c>
      <c r="E1528" s="147">
        <v>4</v>
      </c>
      <c r="F1528" s="147">
        <v>5</v>
      </c>
      <c r="G1528" s="147">
        <v>6</v>
      </c>
      <c r="H1528" s="147">
        <v>7</v>
      </c>
      <c r="I1528" s="164">
        <v>8</v>
      </c>
    </row>
    <row r="1529" spans="1:11" s="17" customFormat="1" ht="16.5" customHeight="1" x14ac:dyDescent="0.2">
      <c r="A1529" s="86">
        <v>111</v>
      </c>
      <c r="B1529" s="601" t="s">
        <v>184</v>
      </c>
      <c r="C1529" s="602"/>
      <c r="D1529" s="6">
        <f>D619</f>
        <v>209434.98</v>
      </c>
      <c r="E1529" s="6">
        <f>E619</f>
        <v>223515.85</v>
      </c>
      <c r="F1529" s="6">
        <f>F619</f>
        <v>223515.85</v>
      </c>
      <c r="G1529" s="91">
        <f t="shared" ref="G1529:G1534" si="80">F1529/D1529</f>
        <v>1.0672326561685159</v>
      </c>
      <c r="H1529" s="92">
        <f t="shared" ref="H1529:H1534" si="81">F1529/E1529</f>
        <v>1</v>
      </c>
      <c r="I1529" s="92">
        <f>F1529/F1534</f>
        <v>0.75254861893721137</v>
      </c>
    </row>
    <row r="1530" spans="1:11" s="17" customFormat="1" ht="16.5" customHeight="1" x14ac:dyDescent="0.2">
      <c r="A1530" s="86">
        <v>130</v>
      </c>
      <c r="B1530" s="601" t="s">
        <v>185</v>
      </c>
      <c r="C1530" s="602"/>
      <c r="D1530" s="110">
        <f>D840</f>
        <v>61508.75</v>
      </c>
      <c r="E1530" s="110">
        <f>E840</f>
        <v>73500</v>
      </c>
      <c r="F1530" s="110">
        <f>F840</f>
        <v>73495.990000000005</v>
      </c>
      <c r="G1530" s="91">
        <f t="shared" si="80"/>
        <v>1.1948867437559698</v>
      </c>
      <c r="H1530" s="92">
        <f t="shared" si="81"/>
        <v>0.99994544217687087</v>
      </c>
      <c r="I1530" s="92">
        <f>F1530/F1534</f>
        <v>0.24745138106278861</v>
      </c>
    </row>
    <row r="1531" spans="1:11" s="17" customFormat="1" ht="16.5" customHeight="1" x14ac:dyDescent="0.2">
      <c r="A1531" s="86">
        <v>132</v>
      </c>
      <c r="B1531" s="601" t="s">
        <v>186</v>
      </c>
      <c r="C1531" s="602"/>
      <c r="D1531" s="6">
        <f>D952</f>
        <v>0</v>
      </c>
      <c r="E1531" s="6">
        <f>E952</f>
        <v>0</v>
      </c>
      <c r="F1531" s="6">
        <f>F952</f>
        <v>0</v>
      </c>
      <c r="G1531" s="91" t="e">
        <f t="shared" si="80"/>
        <v>#DIV/0!</v>
      </c>
      <c r="H1531" s="92" t="e">
        <f t="shared" si="81"/>
        <v>#DIV/0!</v>
      </c>
      <c r="I1531" s="92">
        <f>F1531/F1534</f>
        <v>0</v>
      </c>
    </row>
    <row r="1532" spans="1:11" s="17" customFormat="1" ht="16.5" customHeight="1" x14ac:dyDescent="0.2">
      <c r="A1532" s="86">
        <v>200</v>
      </c>
      <c r="B1532" s="601" t="s">
        <v>187</v>
      </c>
      <c r="C1532" s="602"/>
      <c r="D1532" s="6">
        <f>D1064</f>
        <v>0</v>
      </c>
      <c r="E1532" s="6">
        <f>E1064</f>
        <v>0</v>
      </c>
      <c r="F1532" s="6">
        <f>F1064</f>
        <v>0</v>
      </c>
      <c r="G1532" s="91" t="e">
        <f t="shared" si="80"/>
        <v>#DIV/0!</v>
      </c>
      <c r="H1532" s="92" t="e">
        <f t="shared" si="81"/>
        <v>#DIV/0!</v>
      </c>
      <c r="I1532" s="92">
        <f>F1532/F1534</f>
        <v>0</v>
      </c>
    </row>
    <row r="1533" spans="1:11" s="17" customFormat="1" ht="16.5" customHeight="1" x14ac:dyDescent="0.2">
      <c r="A1533" s="86">
        <v>300</v>
      </c>
      <c r="B1533" s="601" t="s">
        <v>188</v>
      </c>
      <c r="C1533" s="602"/>
      <c r="D1533" s="6">
        <f>D1174</f>
        <v>0</v>
      </c>
      <c r="E1533" s="6">
        <f>E1174</f>
        <v>0</v>
      </c>
      <c r="F1533" s="6">
        <f>F1174</f>
        <v>0</v>
      </c>
      <c r="G1533" s="91" t="e">
        <f t="shared" si="80"/>
        <v>#DIV/0!</v>
      </c>
      <c r="H1533" s="92" t="e">
        <f t="shared" si="81"/>
        <v>#DIV/0!</v>
      </c>
      <c r="I1533" s="92">
        <f>F1533/F1534</f>
        <v>0</v>
      </c>
    </row>
    <row r="1534" spans="1:11" s="17" customFormat="1" ht="16.5" customHeight="1" x14ac:dyDescent="0.2">
      <c r="A1534" s="168"/>
      <c r="B1534" s="625" t="s">
        <v>83</v>
      </c>
      <c r="C1534" s="626"/>
      <c r="D1534" s="508">
        <f>D1529+D1530+D1531+D1532+D1533</f>
        <v>270943.73</v>
      </c>
      <c r="E1534" s="508">
        <f>E1529+E1530+E1531+E1532+E1533</f>
        <v>297015.84999999998</v>
      </c>
      <c r="F1534" s="414">
        <f>F1529+F1530+F1531+F1532+F1533</f>
        <v>297011.84000000003</v>
      </c>
      <c r="G1534" s="200">
        <f t="shared" si="80"/>
        <v>1.0962122651814088</v>
      </c>
      <c r="H1534" s="155">
        <f t="shared" si="81"/>
        <v>0.99998649903700443</v>
      </c>
      <c r="I1534" s="206">
        <f>SUM(I1529:I1533)</f>
        <v>1</v>
      </c>
      <c r="K1534" s="452"/>
    </row>
    <row r="1535" spans="1:11" s="17" customFormat="1" ht="16.5" customHeight="1" x14ac:dyDescent="0.2">
      <c r="A1535" s="314"/>
      <c r="B1535" s="314"/>
      <c r="C1535" s="314"/>
      <c r="D1535" s="314"/>
      <c r="E1535" s="314"/>
      <c r="F1535" s="314"/>
      <c r="G1535" s="156"/>
      <c r="H1535" s="20"/>
      <c r="I1535" s="280"/>
      <c r="K1535" s="453"/>
    </row>
    <row r="1536" spans="1:11" s="17" customFormat="1" ht="16.5" customHeight="1" x14ac:dyDescent="0.2">
      <c r="A1536" s="264"/>
      <c r="B1536" s="627" t="s">
        <v>766</v>
      </c>
      <c r="C1536" s="627"/>
      <c r="D1536" s="627"/>
      <c r="E1536" s="627"/>
      <c r="F1536" s="627"/>
      <c r="G1536" s="627"/>
      <c r="H1536" s="627"/>
      <c r="I1536" s="627"/>
    </row>
    <row r="1537" spans="1:9" s="17" customFormat="1" ht="16.5" customHeight="1" x14ac:dyDescent="0.2">
      <c r="A1537" s="627" t="s">
        <v>767</v>
      </c>
      <c r="B1537" s="627"/>
      <c r="C1537" s="627"/>
      <c r="D1537" s="627"/>
      <c r="E1537" s="627"/>
      <c r="F1537" s="627"/>
      <c r="G1537" s="627"/>
      <c r="H1537" s="627"/>
      <c r="I1537" s="627"/>
    </row>
    <row r="1538" spans="1:9" s="17" customFormat="1" ht="12.95" customHeight="1" x14ac:dyDescent="0.2">
      <c r="A1538" s="732" t="s">
        <v>768</v>
      </c>
      <c r="B1538" s="732"/>
      <c r="C1538" s="732"/>
      <c r="D1538" s="732"/>
      <c r="E1538" s="732"/>
      <c r="F1538" s="732"/>
      <c r="G1538" s="732"/>
      <c r="H1538" s="732"/>
      <c r="I1538" s="732"/>
    </row>
    <row r="1539" spans="1:9" s="17" customFormat="1" ht="16.5" customHeight="1" x14ac:dyDescent="0.2">
      <c r="A1539" s="621" t="s">
        <v>769</v>
      </c>
      <c r="B1539" s="621"/>
      <c r="C1539" s="621"/>
      <c r="D1539" s="621"/>
      <c r="E1539" s="621"/>
      <c r="F1539" s="621"/>
      <c r="G1539" s="621"/>
      <c r="H1539" s="621"/>
      <c r="I1539" s="621"/>
    </row>
    <row r="1540" spans="1:9" s="17" customFormat="1" ht="16.5" customHeight="1" x14ac:dyDescent="0.2">
      <c r="A1540" s="621" t="s">
        <v>770</v>
      </c>
      <c r="B1540" s="621"/>
      <c r="C1540" s="621"/>
      <c r="D1540" s="621"/>
      <c r="E1540" s="621"/>
      <c r="F1540" s="621"/>
      <c r="G1540" s="621"/>
      <c r="H1540" s="621"/>
      <c r="I1540" s="621"/>
    </row>
    <row r="1541" spans="1:9" s="17" customFormat="1" ht="16.5" customHeight="1" x14ac:dyDescent="0.2">
      <c r="A1541" s="621" t="s">
        <v>771</v>
      </c>
      <c r="B1541" s="621"/>
      <c r="C1541" s="621"/>
      <c r="D1541" s="621"/>
      <c r="E1541" s="621"/>
      <c r="F1541" s="621"/>
      <c r="G1541" s="621"/>
      <c r="H1541" s="621"/>
      <c r="I1541" s="621"/>
    </row>
    <row r="1542" spans="1:9" s="17" customFormat="1" ht="16.5" customHeight="1" x14ac:dyDescent="0.2">
      <c r="A1542" s="621" t="s">
        <v>772</v>
      </c>
      <c r="B1542" s="621"/>
      <c r="C1542" s="621"/>
      <c r="D1542" s="621"/>
      <c r="E1542" s="621"/>
      <c r="F1542" s="621"/>
      <c r="G1542" s="621"/>
      <c r="H1542" s="621"/>
      <c r="I1542" s="621"/>
    </row>
    <row r="1543" spans="1:9" s="17" customFormat="1" ht="16.5" customHeight="1" x14ac:dyDescent="0.2">
      <c r="A1543" s="145"/>
      <c r="B1543" s="145"/>
      <c r="C1543" s="145"/>
      <c r="D1543" s="145"/>
      <c r="E1543" s="145"/>
      <c r="F1543" s="145"/>
      <c r="G1543" s="145"/>
      <c r="H1543" s="145"/>
      <c r="I1543" s="145"/>
    </row>
    <row r="1544" spans="1:9" s="17" customFormat="1" ht="16.5" customHeight="1" x14ac:dyDescent="0.2">
      <c r="A1544" s="145"/>
      <c r="B1544" s="145"/>
      <c r="C1544" s="145"/>
      <c r="D1544" s="145"/>
      <c r="E1544" s="145"/>
      <c r="F1544" s="145"/>
      <c r="G1544" s="145"/>
      <c r="H1544" s="145"/>
      <c r="I1544" s="145"/>
    </row>
    <row r="1545" spans="1:9" s="17" customFormat="1" ht="16.5" customHeight="1" x14ac:dyDescent="0.2">
      <c r="A1545" s="145"/>
      <c r="B1545" s="145"/>
      <c r="C1545" s="145"/>
      <c r="D1545" s="145"/>
      <c r="E1545" s="145"/>
      <c r="F1545" s="145"/>
      <c r="G1545" s="145"/>
      <c r="H1545" s="145"/>
      <c r="I1545" s="145"/>
    </row>
    <row r="1546" spans="1:9" s="17" customFormat="1" ht="16.5" customHeight="1" x14ac:dyDescent="0.2">
      <c r="A1546" s="621"/>
      <c r="B1546" s="621"/>
      <c r="C1546" s="621"/>
      <c r="D1546" s="621"/>
      <c r="E1546" s="621"/>
      <c r="F1546" s="621"/>
      <c r="G1546" s="621"/>
      <c r="H1546" s="621"/>
      <c r="I1546" s="621"/>
    </row>
    <row r="1547" spans="1:9" s="17" customFormat="1" ht="16.5" customHeight="1" x14ac:dyDescent="0.2">
      <c r="A1547" s="145"/>
      <c r="B1547" s="145"/>
      <c r="C1547" s="145"/>
      <c r="D1547" s="145"/>
      <c r="E1547" s="145"/>
      <c r="F1547" s="145"/>
      <c r="G1547" s="145"/>
      <c r="H1547" s="145"/>
      <c r="I1547" s="145"/>
    </row>
    <row r="1548" spans="1:9" s="17" customFormat="1" ht="16.5" customHeight="1" x14ac:dyDescent="0.2">
      <c r="A1548" s="145"/>
      <c r="B1548" s="145"/>
      <c r="C1548" s="145"/>
      <c r="D1548" s="145"/>
      <c r="E1548" s="145"/>
      <c r="F1548" s="145"/>
      <c r="G1548" s="145"/>
      <c r="H1548" s="145"/>
      <c r="I1548" s="145"/>
    </row>
    <row r="1549" spans="1:9" s="17" customFormat="1" ht="16.5" customHeight="1" x14ac:dyDescent="0.2">
      <c r="A1549" s="145"/>
      <c r="B1549" s="145"/>
      <c r="C1549" s="145"/>
      <c r="D1549" s="145"/>
      <c r="E1549" s="145"/>
      <c r="F1549" s="145"/>
      <c r="G1549" s="145"/>
      <c r="H1549" s="145"/>
      <c r="I1549" s="145"/>
    </row>
    <row r="1550" spans="1:9" s="17" customFormat="1" ht="16.5" customHeight="1" x14ac:dyDescent="0.2">
      <c r="A1550" s="145"/>
      <c r="B1550" s="145"/>
      <c r="C1550" s="145"/>
      <c r="D1550" s="145"/>
      <c r="E1550" s="145"/>
      <c r="F1550" s="145"/>
      <c r="G1550" s="145"/>
      <c r="H1550" s="145"/>
      <c r="I1550" s="145"/>
    </row>
    <row r="1551" spans="1:9" s="17" customFormat="1" ht="16.5" customHeight="1" x14ac:dyDescent="0.2">
      <c r="A1551" s="145"/>
      <c r="B1551" s="145"/>
      <c r="C1551" s="145"/>
      <c r="D1551" s="145"/>
      <c r="E1551" s="145"/>
      <c r="F1551" s="145"/>
      <c r="G1551" s="145"/>
      <c r="H1551" s="145"/>
      <c r="I1551" s="257">
        <v>27</v>
      </c>
    </row>
    <row r="1552" spans="1:9" s="17" customFormat="1" ht="16.5" customHeight="1" x14ac:dyDescent="0.2">
      <c r="A1552" s="145"/>
      <c r="B1552" s="145"/>
      <c r="C1552" s="145"/>
      <c r="D1552" s="145"/>
      <c r="E1552" s="145"/>
      <c r="F1552" s="145"/>
      <c r="G1552" s="145"/>
      <c r="H1552" s="145"/>
      <c r="I1552" s="257"/>
    </row>
    <row r="1553" spans="1:9" s="17" customFormat="1" ht="16.5" customHeight="1" x14ac:dyDescent="0.2">
      <c r="A1553" s="635" t="s">
        <v>422</v>
      </c>
      <c r="B1553" s="635"/>
      <c r="C1553" s="635"/>
      <c r="D1553" s="635"/>
      <c r="E1553" s="635"/>
      <c r="F1553" s="635"/>
      <c r="G1553" s="635"/>
      <c r="H1553" s="635"/>
      <c r="I1553" s="635"/>
    </row>
    <row r="1554" spans="1:9" s="17" customFormat="1" ht="16.5" customHeight="1" x14ac:dyDescent="0.2">
      <c r="A1554" s="24"/>
      <c r="B1554" s="24"/>
      <c r="C1554" s="24"/>
      <c r="D1554" s="24"/>
      <c r="E1554" s="24"/>
      <c r="F1554" s="24"/>
      <c r="G1554" s="24"/>
      <c r="H1554" s="24"/>
      <c r="I1554" s="24"/>
    </row>
    <row r="1555" spans="1:9" s="17" customFormat="1" ht="16.5" customHeight="1" x14ac:dyDescent="0.2">
      <c r="A1555" s="295"/>
      <c r="B1555" s="743" t="s">
        <v>773</v>
      </c>
      <c r="C1555" s="743"/>
      <c r="D1555" s="743"/>
      <c r="E1555" s="743"/>
      <c r="F1555" s="743"/>
      <c r="G1555" s="743"/>
      <c r="H1555" s="743"/>
      <c r="I1555" s="743"/>
    </row>
    <row r="1556" spans="1:9" s="17" customFormat="1" ht="16.5" customHeight="1" x14ac:dyDescent="0.2">
      <c r="A1556" s="743" t="s">
        <v>774</v>
      </c>
      <c r="B1556" s="743"/>
      <c r="C1556" s="743"/>
      <c r="D1556" s="743"/>
      <c r="E1556" s="743"/>
      <c r="F1556" s="743"/>
      <c r="G1556" s="743"/>
      <c r="H1556" s="743"/>
      <c r="I1556" s="743"/>
    </row>
    <row r="1557" spans="1:9" s="17" customFormat="1" ht="16.5" customHeight="1" x14ac:dyDescent="0.2">
      <c r="A1557" s="145"/>
      <c r="B1557" s="145"/>
      <c r="C1557" s="145"/>
      <c r="D1557" s="145"/>
      <c r="E1557" s="605" t="s">
        <v>84</v>
      </c>
      <c r="F1557" s="145"/>
      <c r="G1557" s="145"/>
      <c r="H1557" s="145"/>
      <c r="I1557" s="145"/>
    </row>
    <row r="1558" spans="1:9" s="17" customFormat="1" ht="16.5" customHeight="1" x14ac:dyDescent="0.2">
      <c r="A1558" s="224"/>
      <c r="B1558" s="247"/>
      <c r="C1558" s="15"/>
      <c r="D1558" s="156"/>
      <c r="E1558" s="605"/>
      <c r="F1558" s="156"/>
      <c r="G1558" s="224"/>
      <c r="H1558" s="156"/>
      <c r="I1558" s="156"/>
    </row>
    <row r="1559" spans="1:9" s="17" customFormat="1" ht="16.5" customHeight="1" x14ac:dyDescent="0.2">
      <c r="A1559" s="192" t="s">
        <v>48</v>
      </c>
      <c r="B1559" s="615" t="s">
        <v>49</v>
      </c>
      <c r="C1559" s="616"/>
      <c r="D1559" s="411" t="s">
        <v>85</v>
      </c>
      <c r="E1559" s="409" t="s">
        <v>152</v>
      </c>
      <c r="F1559" s="42" t="s">
        <v>86</v>
      </c>
      <c r="G1559" s="619" t="s">
        <v>52</v>
      </c>
      <c r="H1559" s="620"/>
      <c r="I1559" s="613" t="s">
        <v>53</v>
      </c>
    </row>
    <row r="1560" spans="1:9" s="17" customFormat="1" ht="16.5" customHeight="1" x14ac:dyDescent="0.2">
      <c r="A1560" s="193" t="s">
        <v>87</v>
      </c>
      <c r="B1560" s="617"/>
      <c r="C1560" s="618"/>
      <c r="D1560" s="412" t="s">
        <v>537</v>
      </c>
      <c r="E1560" s="44" t="s">
        <v>571</v>
      </c>
      <c r="F1560" s="44" t="s">
        <v>571</v>
      </c>
      <c r="G1560" s="29" t="s">
        <v>55</v>
      </c>
      <c r="H1560" s="29" t="s">
        <v>56</v>
      </c>
      <c r="I1560" s="614"/>
    </row>
    <row r="1561" spans="1:9" s="17" customFormat="1" ht="16.5" customHeight="1" x14ac:dyDescent="0.2">
      <c r="A1561" s="164">
        <v>1</v>
      </c>
      <c r="B1561" s="717">
        <v>2</v>
      </c>
      <c r="C1561" s="718"/>
      <c r="D1561" s="163">
        <v>3</v>
      </c>
      <c r="E1561" s="147">
        <v>4</v>
      </c>
      <c r="F1561" s="147">
        <v>5</v>
      </c>
      <c r="G1561" s="147">
        <v>6</v>
      </c>
      <c r="H1561" s="147">
        <v>7</v>
      </c>
      <c r="I1561" s="164">
        <v>8</v>
      </c>
    </row>
    <row r="1562" spans="1:9" s="17" customFormat="1" ht="16.5" customHeight="1" x14ac:dyDescent="0.2">
      <c r="A1562" s="86">
        <v>111</v>
      </c>
      <c r="B1562" s="601" t="s">
        <v>184</v>
      </c>
      <c r="C1562" s="602"/>
      <c r="D1562" s="6">
        <f>D620</f>
        <v>23740.13</v>
      </c>
      <c r="E1562" s="6">
        <f>E620</f>
        <v>28859.439999999999</v>
      </c>
      <c r="F1562" s="6">
        <f>F620</f>
        <v>28859.439999999999</v>
      </c>
      <c r="G1562" s="91">
        <f t="shared" ref="G1562:G1567" si="82">F1562/D1562</f>
        <v>1.2156395099774095</v>
      </c>
      <c r="H1562" s="92">
        <f t="shared" ref="H1562:H1567" si="83">F1562/E1562</f>
        <v>1</v>
      </c>
      <c r="I1562" s="92">
        <f>F1562/F1567</f>
        <v>0.96748178980228927</v>
      </c>
    </row>
    <row r="1563" spans="1:9" s="17" customFormat="1" ht="16.5" customHeight="1" x14ac:dyDescent="0.2">
      <c r="A1563" s="86">
        <v>130</v>
      </c>
      <c r="B1563" s="601" t="s">
        <v>185</v>
      </c>
      <c r="C1563" s="602"/>
      <c r="D1563" s="110">
        <f>D841</f>
        <v>486.6</v>
      </c>
      <c r="E1563" s="110">
        <f>E841</f>
        <v>1000</v>
      </c>
      <c r="F1563" s="110">
        <f>F841</f>
        <v>970</v>
      </c>
      <c r="G1563" s="91">
        <f t="shared" si="82"/>
        <v>1.993423756678997</v>
      </c>
      <c r="H1563" s="92">
        <f t="shared" si="83"/>
        <v>0.97</v>
      </c>
      <c r="I1563" s="92">
        <f>F1563/F1567</f>
        <v>3.2518210197710722E-2</v>
      </c>
    </row>
    <row r="1564" spans="1:9" s="17" customFormat="1" ht="16.5" customHeight="1" x14ac:dyDescent="0.2">
      <c r="A1564" s="86">
        <v>132</v>
      </c>
      <c r="B1564" s="601" t="s">
        <v>186</v>
      </c>
      <c r="C1564" s="602"/>
      <c r="D1564" s="6">
        <f>D953</f>
        <v>0</v>
      </c>
      <c r="E1564" s="6">
        <f>E953</f>
        <v>0</v>
      </c>
      <c r="F1564" s="6">
        <f>F953</f>
        <v>0</v>
      </c>
      <c r="G1564" s="91" t="e">
        <f t="shared" si="82"/>
        <v>#DIV/0!</v>
      </c>
      <c r="H1564" s="92" t="e">
        <f t="shared" si="83"/>
        <v>#DIV/0!</v>
      </c>
      <c r="I1564" s="92">
        <f>F1564/F1567</f>
        <v>0</v>
      </c>
    </row>
    <row r="1565" spans="1:9" s="17" customFormat="1" ht="16.5" customHeight="1" x14ac:dyDescent="0.2">
      <c r="A1565" s="86">
        <v>200</v>
      </c>
      <c r="B1565" s="601" t="s">
        <v>187</v>
      </c>
      <c r="C1565" s="602"/>
      <c r="D1565" s="6">
        <f>D1065</f>
        <v>0</v>
      </c>
      <c r="E1565" s="6">
        <f>E1065</f>
        <v>0</v>
      </c>
      <c r="F1565" s="6">
        <f>F1065</f>
        <v>0</v>
      </c>
      <c r="G1565" s="91" t="e">
        <f t="shared" si="82"/>
        <v>#DIV/0!</v>
      </c>
      <c r="H1565" s="92" t="e">
        <f t="shared" si="83"/>
        <v>#DIV/0!</v>
      </c>
      <c r="I1565" s="92">
        <f>F1565/F1567</f>
        <v>0</v>
      </c>
    </row>
    <row r="1566" spans="1:9" s="17" customFormat="1" ht="16.5" customHeight="1" x14ac:dyDescent="0.2">
      <c r="A1566" s="86">
        <v>300</v>
      </c>
      <c r="B1566" s="601" t="s">
        <v>188</v>
      </c>
      <c r="C1566" s="602"/>
      <c r="D1566" s="6">
        <f>D1175</f>
        <v>0</v>
      </c>
      <c r="E1566" s="6">
        <f>E1175</f>
        <v>0</v>
      </c>
      <c r="F1566" s="6">
        <f>F1175</f>
        <v>0</v>
      </c>
      <c r="G1566" s="91" t="e">
        <f t="shared" si="82"/>
        <v>#DIV/0!</v>
      </c>
      <c r="H1566" s="92" t="e">
        <f t="shared" si="83"/>
        <v>#DIV/0!</v>
      </c>
      <c r="I1566" s="92">
        <f>F1566/F1567</f>
        <v>0</v>
      </c>
    </row>
    <row r="1567" spans="1:9" s="17" customFormat="1" ht="16.5" customHeight="1" x14ac:dyDescent="0.2">
      <c r="A1567" s="168"/>
      <c r="B1567" s="625" t="s">
        <v>83</v>
      </c>
      <c r="C1567" s="626"/>
      <c r="D1567" s="544">
        <f>D1562+D1563+D1564+D1565+D1566</f>
        <v>24226.73</v>
      </c>
      <c r="E1567" s="544">
        <f>E1562+E1563+E1564+E1565+E1566</f>
        <v>29859.439999999999</v>
      </c>
      <c r="F1567" s="414">
        <f>F1562+F1563+F1564+F1565+F1566</f>
        <v>29829.439999999999</v>
      </c>
      <c r="G1567" s="200">
        <f t="shared" si="82"/>
        <v>1.2312615033064718</v>
      </c>
      <c r="H1567" s="155">
        <f t="shared" si="83"/>
        <v>0.99899529261097997</v>
      </c>
      <c r="I1567" s="206">
        <f>SUM(I1562:I1566)</f>
        <v>1</v>
      </c>
    </row>
    <row r="1568" spans="1:9" s="17" customFormat="1" ht="16.5" customHeight="1" x14ac:dyDescent="0.2">
      <c r="A1568" s="258"/>
      <c r="B1568" s="259"/>
      <c r="C1568" s="311"/>
      <c r="D1568" s="311"/>
      <c r="E1568" s="187"/>
      <c r="F1568" s="188"/>
      <c r="G1568" s="189"/>
      <c r="H1568" s="294"/>
      <c r="I1568" s="315"/>
    </row>
    <row r="1569" spans="1:9" s="17" customFormat="1" ht="16.5" customHeight="1" x14ac:dyDescent="0.2">
      <c r="A1569" s="156" t="s">
        <v>775</v>
      </c>
      <c r="B1569" s="156"/>
      <c r="C1569" s="156"/>
      <c r="D1569" s="156"/>
      <c r="E1569" s="156"/>
      <c r="F1569" s="156"/>
      <c r="G1569" s="156"/>
      <c r="H1569" s="156"/>
      <c r="I1569" s="156"/>
    </row>
    <row r="1570" spans="1:9" s="17" customFormat="1" ht="16.5" customHeight="1" x14ac:dyDescent="0.2">
      <c r="A1570" s="621" t="s">
        <v>776</v>
      </c>
      <c r="B1570" s="621"/>
      <c r="C1570" s="621"/>
      <c r="D1570" s="621"/>
      <c r="E1570" s="621"/>
      <c r="F1570" s="621"/>
      <c r="G1570" s="621"/>
      <c r="H1570" s="621"/>
      <c r="I1570" s="621"/>
    </row>
    <row r="1571" spans="1:9" s="17" customFormat="1" ht="16.5" customHeight="1" x14ac:dyDescent="0.2">
      <c r="A1571" s="156" t="s">
        <v>777</v>
      </c>
      <c r="B1571" s="156"/>
      <c r="C1571" s="156"/>
      <c r="D1571" s="156"/>
      <c r="E1571" s="156"/>
      <c r="F1571" s="156"/>
      <c r="G1571" s="156"/>
      <c r="H1571" s="156"/>
      <c r="I1571" s="156"/>
    </row>
    <row r="1572" spans="1:9" s="17" customFormat="1" ht="16.5" customHeight="1" x14ac:dyDescent="0.2">
      <c r="A1572" s="156" t="s">
        <v>778</v>
      </c>
      <c r="B1572" s="156"/>
      <c r="C1572" s="156"/>
      <c r="D1572" s="156"/>
      <c r="E1572" s="156"/>
      <c r="F1572" s="156"/>
      <c r="G1572" s="156"/>
      <c r="H1572" s="156"/>
      <c r="I1572" s="156"/>
    </row>
    <row r="1573" spans="1:9" s="17" customFormat="1" ht="16.5" customHeight="1" x14ac:dyDescent="0.2">
      <c r="A1573" s="621" t="s">
        <v>779</v>
      </c>
      <c r="B1573" s="621"/>
      <c r="C1573" s="621"/>
      <c r="D1573" s="621"/>
      <c r="E1573" s="621"/>
      <c r="F1573" s="621"/>
      <c r="G1573" s="621"/>
      <c r="H1573" s="621"/>
      <c r="I1573" s="621"/>
    </row>
    <row r="1574" spans="1:9" s="17" customFormat="1" ht="16.5" customHeight="1" x14ac:dyDescent="0.2">
      <c r="A1574" s="145"/>
      <c r="B1574" s="145"/>
      <c r="C1574" s="145"/>
      <c r="D1574" s="145"/>
      <c r="E1574" s="145"/>
      <c r="F1574" s="145"/>
      <c r="G1574" s="145"/>
      <c r="H1574" s="145"/>
      <c r="I1574" s="249"/>
    </row>
    <row r="1575" spans="1:9" s="17" customFormat="1" ht="16.5" customHeight="1" x14ac:dyDescent="0.2">
      <c r="A1575" s="25" t="s">
        <v>423</v>
      </c>
      <c r="B1575" s="367"/>
      <c r="C1575" s="367"/>
      <c r="D1575" s="25"/>
      <c r="E1575" s="25"/>
      <c r="F1575" s="25"/>
      <c r="G1575" s="25"/>
      <c r="H1575" s="25"/>
      <c r="I1575" s="25"/>
    </row>
    <row r="1576" spans="1:9" s="17" customFormat="1" ht="16.5" customHeight="1" x14ac:dyDescent="0.2">
      <c r="A1576" s="20"/>
      <c r="B1576" s="20"/>
      <c r="C1576" s="20"/>
      <c r="D1576" s="20"/>
      <c r="E1576" s="20"/>
      <c r="F1576" s="20"/>
      <c r="G1576" s="20"/>
      <c r="H1576" s="297"/>
      <c r="I1576" s="280"/>
    </row>
    <row r="1577" spans="1:9" s="17" customFormat="1" ht="16.5" customHeight="1" x14ac:dyDescent="0.2">
      <c r="A1577" s="21"/>
      <c r="B1577" s="603" t="s">
        <v>780</v>
      </c>
      <c r="C1577" s="603"/>
      <c r="D1577" s="603"/>
      <c r="E1577" s="603"/>
      <c r="F1577" s="603"/>
      <c r="G1577" s="603"/>
      <c r="H1577" s="603"/>
      <c r="I1577" s="603"/>
    </row>
    <row r="1578" spans="1:9" s="17" customFormat="1" ht="16.5" customHeight="1" x14ac:dyDescent="0.2">
      <c r="A1578" s="603" t="s">
        <v>781</v>
      </c>
      <c r="B1578" s="603"/>
      <c r="C1578" s="603"/>
      <c r="D1578" s="603"/>
      <c r="E1578" s="603"/>
      <c r="F1578" s="603"/>
      <c r="G1578" s="603"/>
      <c r="H1578" s="603"/>
      <c r="I1578" s="603"/>
    </row>
    <row r="1579" spans="1:9" s="17" customFormat="1" ht="16.5" customHeight="1" x14ac:dyDescent="0.2">
      <c r="A1579" s="145"/>
      <c r="B1579" s="145"/>
      <c r="C1579" s="145"/>
      <c r="D1579" s="145"/>
      <c r="E1579" s="605" t="s">
        <v>84</v>
      </c>
      <c r="F1579" s="145"/>
      <c r="G1579" s="145"/>
      <c r="H1579" s="145"/>
      <c r="I1579" s="145"/>
    </row>
    <row r="1580" spans="1:9" s="17" customFormat="1" ht="16.5" customHeight="1" x14ac:dyDescent="0.2">
      <c r="A1580" s="224"/>
      <c r="B1580" s="247"/>
      <c r="C1580" s="15"/>
      <c r="D1580" s="156"/>
      <c r="E1580" s="605"/>
      <c r="F1580" s="156"/>
      <c r="G1580" s="224"/>
      <c r="H1580" s="156"/>
      <c r="I1580" s="156"/>
    </row>
    <row r="1581" spans="1:9" s="17" customFormat="1" ht="16.5" customHeight="1" x14ac:dyDescent="0.2">
      <c r="A1581" s="192" t="s">
        <v>48</v>
      </c>
      <c r="B1581" s="615" t="s">
        <v>49</v>
      </c>
      <c r="C1581" s="616"/>
      <c r="D1581" s="411" t="s">
        <v>85</v>
      </c>
      <c r="E1581" s="409" t="s">
        <v>152</v>
      </c>
      <c r="F1581" s="42" t="s">
        <v>86</v>
      </c>
      <c r="G1581" s="619" t="s">
        <v>52</v>
      </c>
      <c r="H1581" s="620"/>
      <c r="I1581" s="613" t="s">
        <v>53</v>
      </c>
    </row>
    <row r="1582" spans="1:9" s="17" customFormat="1" ht="12" customHeight="1" x14ac:dyDescent="0.2">
      <c r="A1582" s="193" t="s">
        <v>87</v>
      </c>
      <c r="B1582" s="617"/>
      <c r="C1582" s="618"/>
      <c r="D1582" s="412" t="s">
        <v>537</v>
      </c>
      <c r="E1582" s="44" t="s">
        <v>571</v>
      </c>
      <c r="F1582" s="44" t="s">
        <v>571</v>
      </c>
      <c r="G1582" s="29" t="s">
        <v>55</v>
      </c>
      <c r="H1582" s="29" t="s">
        <v>56</v>
      </c>
      <c r="I1582" s="614"/>
    </row>
    <row r="1583" spans="1:9" s="17" customFormat="1" ht="12" customHeight="1" x14ac:dyDescent="0.2">
      <c r="A1583" s="164">
        <v>1</v>
      </c>
      <c r="B1583" s="717">
        <v>2</v>
      </c>
      <c r="C1583" s="718"/>
      <c r="D1583" s="163">
        <v>3</v>
      </c>
      <c r="E1583" s="147">
        <v>4</v>
      </c>
      <c r="F1583" s="147">
        <v>5</v>
      </c>
      <c r="G1583" s="147">
        <v>6</v>
      </c>
      <c r="H1583" s="147">
        <v>7</v>
      </c>
      <c r="I1583" s="164">
        <v>8</v>
      </c>
    </row>
    <row r="1584" spans="1:9" s="17" customFormat="1" ht="16.5" customHeight="1" x14ac:dyDescent="0.2">
      <c r="A1584" s="86">
        <v>111</v>
      </c>
      <c r="B1584" s="601" t="s">
        <v>184</v>
      </c>
      <c r="C1584" s="602"/>
      <c r="D1584" s="6">
        <f>D621</f>
        <v>254973.12</v>
      </c>
      <c r="E1584" s="6">
        <f>E621</f>
        <v>233408.61</v>
      </c>
      <c r="F1584" s="6">
        <f>F621</f>
        <v>233408.61</v>
      </c>
      <c r="G1584" s="91">
        <f t="shared" ref="G1584:G1589" si="84">F1584/D1584</f>
        <v>0.91542437885217076</v>
      </c>
      <c r="H1584" s="92">
        <f t="shared" ref="H1584:H1589" si="85">F1584/E1584</f>
        <v>1</v>
      </c>
      <c r="I1584" s="92">
        <f>F1584/F1589</f>
        <v>0.81364858043255717</v>
      </c>
    </row>
    <row r="1585" spans="1:9" s="17" customFormat="1" ht="16.5" customHeight="1" x14ac:dyDescent="0.2">
      <c r="A1585" s="86">
        <v>130</v>
      </c>
      <c r="B1585" s="601" t="s">
        <v>185</v>
      </c>
      <c r="C1585" s="602"/>
      <c r="D1585" s="110">
        <f>D842</f>
        <v>18539.3</v>
      </c>
      <c r="E1585" s="110">
        <f>E842</f>
        <v>54000</v>
      </c>
      <c r="F1585" s="110">
        <f>F842</f>
        <v>53458</v>
      </c>
      <c r="G1585" s="91">
        <f t="shared" si="84"/>
        <v>2.8834961406309838</v>
      </c>
      <c r="H1585" s="92">
        <f t="shared" si="85"/>
        <v>0.98996296296296293</v>
      </c>
      <c r="I1585" s="92">
        <f>F1585/F1589</f>
        <v>0.18635141956744286</v>
      </c>
    </row>
    <row r="1586" spans="1:9" s="17" customFormat="1" ht="16.5" customHeight="1" x14ac:dyDescent="0.2">
      <c r="A1586" s="86">
        <v>132</v>
      </c>
      <c r="B1586" s="601" t="s">
        <v>186</v>
      </c>
      <c r="C1586" s="602"/>
      <c r="D1586" s="6">
        <f>D954</f>
        <v>0</v>
      </c>
      <c r="E1586" s="6">
        <f>E954</f>
        <v>0</v>
      </c>
      <c r="F1586" s="6">
        <f>F954</f>
        <v>0</v>
      </c>
      <c r="G1586" s="91" t="e">
        <f t="shared" si="84"/>
        <v>#DIV/0!</v>
      </c>
      <c r="H1586" s="92" t="e">
        <f t="shared" si="85"/>
        <v>#DIV/0!</v>
      </c>
      <c r="I1586" s="92">
        <f>F1586/F1589</f>
        <v>0</v>
      </c>
    </row>
    <row r="1587" spans="1:9" s="17" customFormat="1" ht="16.5" customHeight="1" x14ac:dyDescent="0.2">
      <c r="A1587" s="86">
        <v>200</v>
      </c>
      <c r="B1587" s="601" t="s">
        <v>187</v>
      </c>
      <c r="C1587" s="602"/>
      <c r="D1587" s="6">
        <f>D1066</f>
        <v>0</v>
      </c>
      <c r="E1587" s="6">
        <f>E1066</f>
        <v>0</v>
      </c>
      <c r="F1587" s="6">
        <f>F1066</f>
        <v>0</v>
      </c>
      <c r="G1587" s="91" t="e">
        <f t="shared" si="84"/>
        <v>#DIV/0!</v>
      </c>
      <c r="H1587" s="92" t="e">
        <f t="shared" si="85"/>
        <v>#DIV/0!</v>
      </c>
      <c r="I1587" s="92">
        <f>F1587/F1589</f>
        <v>0</v>
      </c>
    </row>
    <row r="1588" spans="1:9" s="17" customFormat="1" ht="16.5" customHeight="1" x14ac:dyDescent="0.2">
      <c r="A1588" s="86">
        <v>300</v>
      </c>
      <c r="B1588" s="601" t="s">
        <v>188</v>
      </c>
      <c r="C1588" s="602"/>
      <c r="D1588" s="6">
        <f>D1176</f>
        <v>0</v>
      </c>
      <c r="E1588" s="6">
        <f>E1176</f>
        <v>0</v>
      </c>
      <c r="F1588" s="6">
        <f>F1176</f>
        <v>0</v>
      </c>
      <c r="G1588" s="91" t="e">
        <f t="shared" si="84"/>
        <v>#DIV/0!</v>
      </c>
      <c r="H1588" s="92" t="e">
        <f t="shared" si="85"/>
        <v>#DIV/0!</v>
      </c>
      <c r="I1588" s="92">
        <f>F1588/F1589</f>
        <v>0</v>
      </c>
    </row>
    <row r="1589" spans="1:9" s="17" customFormat="1" ht="16.5" customHeight="1" x14ac:dyDescent="0.2">
      <c r="A1589" s="168"/>
      <c r="B1589" s="625" t="s">
        <v>83</v>
      </c>
      <c r="C1589" s="626"/>
      <c r="D1589" s="544">
        <f>D1584+D1585+D1586+D1587+D1588</f>
        <v>273512.42</v>
      </c>
      <c r="E1589" s="544">
        <f>E1584+E1585+E1586+E1587+E1588</f>
        <v>287408.61</v>
      </c>
      <c r="F1589" s="414">
        <f>F1584+F1585+F1586+F1587+F1588</f>
        <v>286866.61</v>
      </c>
      <c r="G1589" s="200">
        <f t="shared" si="84"/>
        <v>1.0488248029102298</v>
      </c>
      <c r="H1589" s="155">
        <f t="shared" si="85"/>
        <v>0.99811418314851463</v>
      </c>
      <c r="I1589" s="206">
        <f>SUM(I1584:I1588)</f>
        <v>1</v>
      </c>
    </row>
    <row r="1590" spans="1:9" s="17" customFormat="1" ht="16.5" customHeight="1" x14ac:dyDescent="0.2">
      <c r="A1590" s="295"/>
      <c r="B1590" s="295"/>
      <c r="C1590" s="295"/>
      <c r="D1590" s="295"/>
      <c r="E1590" s="295"/>
      <c r="F1590" s="295"/>
      <c r="G1590" s="156"/>
      <c r="H1590" s="20"/>
      <c r="I1590" s="280"/>
    </row>
    <row r="1591" spans="1:9" s="17" customFormat="1" ht="16.5" customHeight="1" x14ac:dyDescent="0.2">
      <c r="A1591" s="621" t="s">
        <v>782</v>
      </c>
      <c r="B1591" s="621"/>
      <c r="C1591" s="621"/>
      <c r="D1591" s="621"/>
      <c r="E1591" s="621"/>
      <c r="F1591" s="621"/>
      <c r="G1591" s="621"/>
      <c r="H1591" s="621"/>
      <c r="I1591" s="621"/>
    </row>
    <row r="1592" spans="1:9" s="17" customFormat="1" ht="16.5" customHeight="1" x14ac:dyDescent="0.2">
      <c r="A1592" s="621" t="s">
        <v>783</v>
      </c>
      <c r="B1592" s="621"/>
      <c r="C1592" s="621"/>
      <c r="D1592" s="621"/>
      <c r="E1592" s="621"/>
      <c r="F1592" s="621"/>
      <c r="G1592" s="621"/>
      <c r="H1592" s="621"/>
      <c r="I1592" s="621"/>
    </row>
    <row r="1593" spans="1:9" s="17" customFormat="1" ht="16.5" customHeight="1" x14ac:dyDescent="0.2">
      <c r="A1593" s="621" t="s">
        <v>784</v>
      </c>
      <c r="B1593" s="621"/>
      <c r="C1593" s="621"/>
      <c r="D1593" s="621"/>
      <c r="E1593" s="621"/>
      <c r="F1593" s="621"/>
      <c r="G1593" s="621"/>
      <c r="H1593" s="621"/>
      <c r="I1593" s="621"/>
    </row>
    <row r="1594" spans="1:9" s="17" customFormat="1" ht="16.5" customHeight="1" x14ac:dyDescent="0.2">
      <c r="A1594" s="621" t="s">
        <v>785</v>
      </c>
      <c r="B1594" s="621"/>
      <c r="C1594" s="621"/>
      <c r="D1594" s="621"/>
      <c r="E1594" s="621"/>
      <c r="F1594" s="621"/>
      <c r="G1594" s="621"/>
      <c r="H1594" s="621"/>
      <c r="I1594" s="621"/>
    </row>
    <row r="1595" spans="1:9" s="17" customFormat="1" ht="16.5" customHeight="1" x14ac:dyDescent="0.2">
      <c r="A1595" s="603" t="s">
        <v>786</v>
      </c>
      <c r="B1595" s="603"/>
      <c r="C1595" s="603"/>
      <c r="D1595" s="603"/>
      <c r="E1595" s="603"/>
      <c r="F1595" s="603"/>
      <c r="G1595" s="603"/>
      <c r="H1595" s="603"/>
      <c r="I1595" s="603"/>
    </row>
    <row r="1596" spans="1:9" s="17" customFormat="1" ht="16.5" customHeight="1" x14ac:dyDescent="0.2">
      <c r="A1596" s="603" t="s">
        <v>787</v>
      </c>
      <c r="B1596" s="603"/>
      <c r="C1596" s="603"/>
      <c r="D1596" s="603"/>
      <c r="E1596" s="603"/>
      <c r="F1596" s="603"/>
      <c r="G1596" s="603"/>
      <c r="H1596" s="603"/>
      <c r="I1596" s="603"/>
    </row>
    <row r="1597" spans="1:9" s="17" customFormat="1" ht="16.5" customHeight="1" x14ac:dyDescent="0.2">
      <c r="A1597" s="21"/>
      <c r="B1597" s="21"/>
      <c r="C1597" s="21"/>
      <c r="D1597" s="21"/>
      <c r="E1597" s="21"/>
      <c r="F1597" s="21"/>
      <c r="G1597" s="21"/>
      <c r="H1597" s="21"/>
      <c r="I1597" s="21"/>
    </row>
    <row r="1598" spans="1:9" s="17" customFormat="1" ht="16.5" customHeight="1" x14ac:dyDescent="0.2">
      <c r="A1598" s="21"/>
      <c r="B1598" s="21"/>
      <c r="C1598" s="21"/>
      <c r="D1598" s="21"/>
      <c r="E1598" s="21"/>
      <c r="F1598" s="21"/>
      <c r="G1598" s="21"/>
      <c r="H1598" s="21"/>
      <c r="I1598" s="21"/>
    </row>
    <row r="1599" spans="1:9" s="17" customFormat="1" ht="16.5" customHeight="1" x14ac:dyDescent="0.2">
      <c r="A1599" s="21"/>
      <c r="B1599" s="21"/>
      <c r="C1599" s="21"/>
      <c r="D1599" s="21"/>
      <c r="E1599" s="21"/>
      <c r="F1599" s="21"/>
      <c r="G1599" s="21"/>
      <c r="H1599" s="21"/>
      <c r="I1599" s="21"/>
    </row>
    <row r="1600" spans="1:9" s="17" customFormat="1" ht="16.5" customHeight="1" x14ac:dyDescent="0.2">
      <c r="A1600" s="21"/>
      <c r="B1600" s="21"/>
      <c r="C1600" s="21"/>
      <c r="D1600" s="21"/>
      <c r="E1600" s="21"/>
      <c r="F1600" s="21"/>
      <c r="G1600" s="21"/>
      <c r="H1600" s="21"/>
      <c r="I1600" s="21"/>
    </row>
    <row r="1601" spans="1:9" s="17" customFormat="1" ht="16.5" customHeight="1" x14ac:dyDescent="0.2">
      <c r="A1601" s="21"/>
      <c r="B1601" s="21"/>
      <c r="C1601" s="21"/>
      <c r="D1601" s="21"/>
      <c r="E1601" s="21"/>
      <c r="F1601" s="21"/>
      <c r="G1601" s="21"/>
      <c r="H1601" s="21"/>
      <c r="I1601" s="21"/>
    </row>
    <row r="1602" spans="1:9" s="17" customFormat="1" ht="16.5" customHeight="1" x14ac:dyDescent="0.2">
      <c r="A1602" s="21"/>
      <c r="B1602" s="21"/>
      <c r="C1602" s="21"/>
      <c r="D1602" s="21"/>
      <c r="E1602" s="21"/>
      <c r="F1602" s="21"/>
      <c r="G1602" s="21"/>
      <c r="H1602" s="21"/>
      <c r="I1602" s="21"/>
    </row>
    <row r="1603" spans="1:9" s="17" customFormat="1" ht="16.5" customHeight="1" x14ac:dyDescent="0.2">
      <c r="A1603" s="21"/>
      <c r="B1603" s="21"/>
      <c r="C1603" s="21"/>
      <c r="D1603" s="21"/>
      <c r="E1603" s="21"/>
      <c r="F1603" s="21"/>
      <c r="G1603" s="21"/>
      <c r="H1603" s="21"/>
      <c r="I1603" s="21"/>
    </row>
    <row r="1604" spans="1:9" s="17" customFormat="1" ht="16.5" customHeight="1" x14ac:dyDescent="0.2">
      <c r="A1604" s="21"/>
      <c r="B1604" s="21"/>
      <c r="C1604" s="21"/>
      <c r="D1604" s="21"/>
      <c r="E1604" s="21"/>
      <c r="F1604" s="21"/>
      <c r="G1604" s="21"/>
      <c r="H1604" s="21"/>
      <c r="I1604" s="21"/>
    </row>
    <row r="1605" spans="1:9" s="17" customFormat="1" ht="16.5" customHeight="1" x14ac:dyDescent="0.2">
      <c r="A1605" s="21"/>
      <c r="B1605" s="21"/>
      <c r="C1605" s="21"/>
      <c r="D1605" s="21"/>
      <c r="E1605" s="21"/>
      <c r="F1605" s="21"/>
      <c r="G1605" s="21"/>
      <c r="H1605" s="21"/>
      <c r="I1605" s="21"/>
    </row>
    <row r="1606" spans="1:9" s="17" customFormat="1" ht="16.5" customHeight="1" x14ac:dyDescent="0.2">
      <c r="A1606" s="21"/>
      <c r="B1606" s="21"/>
      <c r="C1606" s="21"/>
      <c r="D1606" s="21"/>
      <c r="E1606" s="21"/>
      <c r="F1606" s="21"/>
      <c r="G1606" s="21"/>
      <c r="H1606" s="21"/>
      <c r="I1606" s="21"/>
    </row>
    <row r="1607" spans="1:9" s="17" customFormat="1" ht="16.5" customHeight="1" x14ac:dyDescent="0.2">
      <c r="A1607" s="21"/>
      <c r="B1607" s="21"/>
      <c r="C1607" s="21"/>
      <c r="D1607" s="21"/>
      <c r="E1607" s="21"/>
      <c r="F1607" s="21"/>
      <c r="G1607" s="21"/>
      <c r="H1607" s="21"/>
      <c r="I1607" s="440">
        <v>28</v>
      </c>
    </row>
    <row r="1608" spans="1:9" s="17" customFormat="1" ht="16.5" customHeight="1" x14ac:dyDescent="0.3">
      <c r="B1608" s="366" t="s">
        <v>424</v>
      </c>
      <c r="C1608" s="418"/>
      <c r="I1608" s="280"/>
    </row>
    <row r="1609" spans="1:9" s="17" customFormat="1" ht="16.5" customHeight="1" x14ac:dyDescent="0.2">
      <c r="I1609" s="280"/>
    </row>
    <row r="1610" spans="1:9" s="17" customFormat="1" ht="16.5" customHeight="1" x14ac:dyDescent="0.2">
      <c r="A1610" s="20"/>
      <c r="B1610" s="603" t="s">
        <v>788</v>
      </c>
      <c r="C1610" s="603"/>
      <c r="D1610" s="603"/>
      <c r="E1610" s="603"/>
      <c r="F1610" s="603"/>
      <c r="G1610" s="603"/>
      <c r="H1610" s="603"/>
      <c r="I1610" s="603"/>
    </row>
    <row r="1611" spans="1:9" s="17" customFormat="1" ht="16.5" customHeight="1" x14ac:dyDescent="0.2">
      <c r="A1611" s="603" t="s">
        <v>789</v>
      </c>
      <c r="B1611" s="603"/>
      <c r="C1611" s="603"/>
      <c r="D1611" s="603"/>
      <c r="E1611" s="603"/>
      <c r="F1611" s="603"/>
      <c r="G1611" s="603"/>
      <c r="H1611" s="603"/>
      <c r="I1611" s="603"/>
    </row>
    <row r="1612" spans="1:9" s="17" customFormat="1" ht="16.5" customHeight="1" x14ac:dyDescent="0.2">
      <c r="A1612" s="603" t="s">
        <v>790</v>
      </c>
      <c r="B1612" s="603"/>
      <c r="C1612" s="603"/>
      <c r="D1612" s="603"/>
      <c r="E1612" s="603"/>
      <c r="F1612" s="603"/>
      <c r="G1612" s="603"/>
      <c r="H1612" s="603"/>
      <c r="I1612" s="603"/>
    </row>
    <row r="1613" spans="1:9" s="17" customFormat="1" ht="16.5" customHeight="1" x14ac:dyDescent="0.2">
      <c r="A1613" s="21"/>
      <c r="B1613" s="603" t="s">
        <v>327</v>
      </c>
      <c r="C1613" s="603"/>
      <c r="D1613" s="603"/>
      <c r="E1613" s="603"/>
      <c r="F1613" s="603"/>
      <c r="G1613" s="603"/>
      <c r="H1613" s="603"/>
      <c r="I1613" s="603"/>
    </row>
    <row r="1614" spans="1:9" s="17" customFormat="1" ht="16.5" customHeight="1" x14ac:dyDescent="0.2">
      <c r="A1614" s="145"/>
      <c r="B1614" s="145"/>
      <c r="C1614" s="145"/>
      <c r="D1614" s="145"/>
      <c r="E1614" s="605" t="s">
        <v>84</v>
      </c>
      <c r="F1614" s="145"/>
      <c r="G1614" s="145"/>
      <c r="H1614" s="145"/>
      <c r="I1614" s="145"/>
    </row>
    <row r="1615" spans="1:9" s="17" customFormat="1" ht="16.5" customHeight="1" x14ac:dyDescent="0.2">
      <c r="A1615" s="224"/>
      <c r="B1615" s="247"/>
      <c r="C1615" s="15"/>
      <c r="D1615" s="156"/>
      <c r="E1615" s="605"/>
      <c r="F1615" s="156"/>
      <c r="G1615" s="224"/>
      <c r="H1615" s="156"/>
      <c r="I1615" s="156"/>
    </row>
    <row r="1616" spans="1:9" s="17" customFormat="1" ht="16.5" customHeight="1" x14ac:dyDescent="0.2">
      <c r="A1616" s="192" t="s">
        <v>48</v>
      </c>
      <c r="B1616" s="615" t="s">
        <v>49</v>
      </c>
      <c r="C1616" s="616"/>
      <c r="D1616" s="411" t="s">
        <v>85</v>
      </c>
      <c r="E1616" s="409" t="s">
        <v>152</v>
      </c>
      <c r="F1616" s="42" t="s">
        <v>86</v>
      </c>
      <c r="G1616" s="619" t="s">
        <v>52</v>
      </c>
      <c r="H1616" s="620"/>
      <c r="I1616" s="613" t="s">
        <v>53</v>
      </c>
    </row>
    <row r="1617" spans="1:9" s="17" customFormat="1" ht="12" customHeight="1" x14ac:dyDescent="0.2">
      <c r="A1617" s="193" t="s">
        <v>87</v>
      </c>
      <c r="B1617" s="617"/>
      <c r="C1617" s="618"/>
      <c r="D1617" s="412" t="s">
        <v>537</v>
      </c>
      <c r="E1617" s="44" t="s">
        <v>571</v>
      </c>
      <c r="F1617" s="44" t="s">
        <v>571</v>
      </c>
      <c r="G1617" s="29" t="s">
        <v>55</v>
      </c>
      <c r="H1617" s="29" t="s">
        <v>56</v>
      </c>
      <c r="I1617" s="618"/>
    </row>
    <row r="1618" spans="1:9" s="17" customFormat="1" ht="12" customHeight="1" x14ac:dyDescent="0.2">
      <c r="A1618" s="150">
        <v>1</v>
      </c>
      <c r="B1618" s="717">
        <v>2</v>
      </c>
      <c r="C1618" s="718"/>
      <c r="D1618" s="163">
        <v>3</v>
      </c>
      <c r="E1618" s="147">
        <v>4</v>
      </c>
      <c r="F1618" s="147">
        <v>5</v>
      </c>
      <c r="G1618" s="147">
        <v>6</v>
      </c>
      <c r="H1618" s="147">
        <v>7</v>
      </c>
      <c r="I1618" s="316">
        <v>8</v>
      </c>
    </row>
    <row r="1619" spans="1:9" s="17" customFormat="1" ht="16.5" customHeight="1" x14ac:dyDescent="0.2">
      <c r="A1619" s="86">
        <v>40110</v>
      </c>
      <c r="B1619" s="601" t="s">
        <v>333</v>
      </c>
      <c r="C1619" s="602"/>
      <c r="D1619" s="87">
        <f t="shared" ref="D1619:F1624" si="86">D257</f>
        <v>2761006.39</v>
      </c>
      <c r="E1619" s="88">
        <f t="shared" si="86"/>
        <v>2683681</v>
      </c>
      <c r="F1619" s="87">
        <f t="shared" si="86"/>
        <v>2208682.69</v>
      </c>
      <c r="G1619" s="89">
        <f t="shared" ref="G1619:G1628" si="87">F1619/D1619</f>
        <v>0.79995566037063748</v>
      </c>
      <c r="H1619" s="317">
        <f t="shared" ref="H1619:H1628" si="88">F1619/E1619</f>
        <v>0.82300492867818487</v>
      </c>
      <c r="I1619" s="277">
        <f>F1619/F1625</f>
        <v>0.88516485973046788</v>
      </c>
    </row>
    <row r="1620" spans="1:9" s="17" customFormat="1" ht="16.5" customHeight="1" x14ac:dyDescent="0.2">
      <c r="A1620" s="86"/>
      <c r="B1620" s="601" t="s">
        <v>334</v>
      </c>
      <c r="C1620" s="602"/>
      <c r="D1620" s="87">
        <f t="shared" si="86"/>
        <v>0</v>
      </c>
      <c r="E1620" s="88">
        <f t="shared" si="86"/>
        <v>571877</v>
      </c>
      <c r="F1620" s="87">
        <f t="shared" si="86"/>
        <v>0</v>
      </c>
      <c r="G1620" s="91" t="e">
        <f t="shared" si="87"/>
        <v>#DIV/0!</v>
      </c>
      <c r="H1620" s="317">
        <f t="shared" si="88"/>
        <v>0</v>
      </c>
      <c r="I1620" s="277">
        <f>F1620/F1625</f>
        <v>0</v>
      </c>
    </row>
    <row r="1621" spans="1:9" s="17" customFormat="1" ht="16.5" customHeight="1" x14ac:dyDescent="0.2">
      <c r="A1621" s="84">
        <v>50001</v>
      </c>
      <c r="B1621" s="654" t="s">
        <v>335</v>
      </c>
      <c r="C1621" s="655"/>
      <c r="D1621" s="87">
        <f t="shared" si="86"/>
        <v>262260</v>
      </c>
      <c r="E1621" s="88">
        <f t="shared" si="86"/>
        <v>240000</v>
      </c>
      <c r="F1621" s="87">
        <f t="shared" si="86"/>
        <v>285967</v>
      </c>
      <c r="G1621" s="89">
        <f t="shared" si="87"/>
        <v>1.090395027834973</v>
      </c>
      <c r="H1621" s="317">
        <f t="shared" si="88"/>
        <v>1.1915291666666668</v>
      </c>
      <c r="I1621" s="277">
        <f>F1621/F1625</f>
        <v>0.11460584202004261</v>
      </c>
    </row>
    <row r="1622" spans="1:9" s="17" customFormat="1" ht="16.5" customHeight="1" x14ac:dyDescent="0.2">
      <c r="A1622" s="84">
        <v>50017</v>
      </c>
      <c r="B1622" s="654" t="s">
        <v>336</v>
      </c>
      <c r="C1622" s="655"/>
      <c r="D1622" s="87">
        <f t="shared" si="86"/>
        <v>0</v>
      </c>
      <c r="E1622" s="88">
        <f t="shared" si="86"/>
        <v>0</v>
      </c>
      <c r="F1622" s="87">
        <f t="shared" si="86"/>
        <v>0</v>
      </c>
      <c r="G1622" s="91" t="e">
        <f t="shared" si="87"/>
        <v>#DIV/0!</v>
      </c>
      <c r="H1622" s="166" t="e">
        <f t="shared" si="88"/>
        <v>#DIV/0!</v>
      </c>
      <c r="I1622" s="277">
        <f>F1622/F1625</f>
        <v>0</v>
      </c>
    </row>
    <row r="1623" spans="1:9" s="17" customFormat="1" ht="16.5" customHeight="1" x14ac:dyDescent="0.2">
      <c r="A1623" s="84">
        <v>50019</v>
      </c>
      <c r="B1623" s="654" t="s">
        <v>470</v>
      </c>
      <c r="C1623" s="655"/>
      <c r="D1623" s="87">
        <f t="shared" si="86"/>
        <v>0</v>
      </c>
      <c r="E1623" s="88">
        <f t="shared" si="86"/>
        <v>0</v>
      </c>
      <c r="F1623" s="87">
        <f t="shared" si="86"/>
        <v>572.15</v>
      </c>
      <c r="G1623" s="91">
        <v>0</v>
      </c>
      <c r="H1623" s="166">
        <v>0</v>
      </c>
      <c r="I1623" s="277">
        <f>F1623/F1625</f>
        <v>2.2929824948951234E-4</v>
      </c>
    </row>
    <row r="1624" spans="1:9" s="17" customFormat="1" ht="16.5" customHeight="1" x14ac:dyDescent="0.2">
      <c r="A1624" s="86">
        <v>50290</v>
      </c>
      <c r="B1624" s="654" t="s">
        <v>338</v>
      </c>
      <c r="C1624" s="655"/>
      <c r="D1624" s="87">
        <f t="shared" si="86"/>
        <v>0</v>
      </c>
      <c r="E1624" s="88">
        <f t="shared" si="86"/>
        <v>0</v>
      </c>
      <c r="F1624" s="87">
        <f t="shared" si="86"/>
        <v>0</v>
      </c>
      <c r="G1624" s="91" t="e">
        <f t="shared" si="87"/>
        <v>#DIV/0!</v>
      </c>
      <c r="H1624" s="166" t="e">
        <f t="shared" si="88"/>
        <v>#DIV/0!</v>
      </c>
      <c r="I1624" s="277">
        <f>F1624/F1625</f>
        <v>0</v>
      </c>
    </row>
    <row r="1625" spans="1:9" s="17" customFormat="1" ht="16.5" customHeight="1" x14ac:dyDescent="0.2">
      <c r="A1625" s="86"/>
      <c r="B1625" s="672" t="s">
        <v>109</v>
      </c>
      <c r="C1625" s="673"/>
      <c r="D1625" s="93">
        <f>D1619+D1620+D1621+D1622+D1623+D1624</f>
        <v>3023266.39</v>
      </c>
      <c r="E1625" s="93">
        <f t="shared" ref="E1625" si="89">E1619+E1620+E1621+E1622+E1624</f>
        <v>3495558</v>
      </c>
      <c r="F1625" s="93">
        <f>F1619+F1620+F1621+F1622+F1623+F1624</f>
        <v>2495221.84</v>
      </c>
      <c r="G1625" s="33">
        <f t="shared" si="87"/>
        <v>0.82533972138657608</v>
      </c>
      <c r="H1625" s="34">
        <f t="shared" si="88"/>
        <v>0.7138264734843478</v>
      </c>
      <c r="I1625" s="371">
        <f>F1625/F1629</f>
        <v>0.56079308861560795</v>
      </c>
    </row>
    <row r="1626" spans="1:9" s="17" customFormat="1" ht="16.5" customHeight="1" x14ac:dyDescent="0.2">
      <c r="A1626" s="362">
        <v>50101</v>
      </c>
      <c r="B1626" s="672" t="s">
        <v>337</v>
      </c>
      <c r="C1626" s="673"/>
      <c r="D1626" s="93">
        <f>D264</f>
        <v>823750</v>
      </c>
      <c r="E1626" s="93">
        <f>E264</f>
        <v>0</v>
      </c>
      <c r="F1626" s="93">
        <f>F264</f>
        <v>1044141.5</v>
      </c>
      <c r="G1626" s="124">
        <f>F1626/D1626</f>
        <v>1.2675465857359636</v>
      </c>
      <c r="H1626" s="34" t="e">
        <f>F1626/E1626</f>
        <v>#DIV/0!</v>
      </c>
      <c r="I1626" s="370">
        <f>F1626/F1629</f>
        <v>0.23466744613646612</v>
      </c>
    </row>
    <row r="1627" spans="1:9" s="17" customFormat="1" ht="16.5" customHeight="1" x14ac:dyDescent="0.2">
      <c r="A1627" s="86"/>
      <c r="B1627" s="757" t="s">
        <v>142</v>
      </c>
      <c r="C1627" s="758"/>
      <c r="D1627" s="93">
        <f>D1628</f>
        <v>0</v>
      </c>
      <c r="E1627" s="93">
        <f>E1628</f>
        <v>0</v>
      </c>
      <c r="F1627" s="93">
        <f>F1628</f>
        <v>910088.5</v>
      </c>
      <c r="G1627" s="33" t="e">
        <f t="shared" si="87"/>
        <v>#DIV/0!</v>
      </c>
      <c r="H1627" s="34" t="e">
        <f t="shared" si="88"/>
        <v>#DIV/0!</v>
      </c>
      <c r="I1627" s="34">
        <f>F1627/F1629</f>
        <v>0.20453946524792591</v>
      </c>
    </row>
    <row r="1628" spans="1:9" s="17" customFormat="1" ht="16.5" customHeight="1" x14ac:dyDescent="0.2">
      <c r="A1628" s="86"/>
      <c r="B1628" s="654" t="s">
        <v>515</v>
      </c>
      <c r="C1628" s="655"/>
      <c r="D1628" s="87">
        <f>D266</f>
        <v>0</v>
      </c>
      <c r="E1628" s="318"/>
      <c r="F1628" s="87">
        <f>F266</f>
        <v>910088.5</v>
      </c>
      <c r="G1628" s="165" t="e">
        <f t="shared" si="87"/>
        <v>#DIV/0!</v>
      </c>
      <c r="H1628" s="166" t="e">
        <f t="shared" si="88"/>
        <v>#DIV/0!</v>
      </c>
      <c r="I1628" s="166">
        <f>F1628/F1627</f>
        <v>1</v>
      </c>
    </row>
    <row r="1629" spans="1:9" s="17" customFormat="1" ht="16.5" customHeight="1" x14ac:dyDescent="0.2">
      <c r="A1629" s="168"/>
      <c r="B1629" s="625" t="s">
        <v>331</v>
      </c>
      <c r="C1629" s="626"/>
      <c r="D1629" s="509">
        <f>D1625+D1626+D1627</f>
        <v>3847016.39</v>
      </c>
      <c r="E1629" s="509">
        <f t="shared" ref="E1629" si="90">E1625+E1626+E1627</f>
        <v>3495558</v>
      </c>
      <c r="F1629" s="509">
        <f>F1625+F1626+F1627</f>
        <v>4449451.84</v>
      </c>
      <c r="G1629" s="170">
        <f>F1629/D1629</f>
        <v>1.1565980980912847</v>
      </c>
      <c r="H1629" s="155">
        <f>F1629/E1629</f>
        <v>1.2728874302757958</v>
      </c>
      <c r="I1629" s="155">
        <f>I1625+I1626+I1627</f>
        <v>0.99999999999999989</v>
      </c>
    </row>
    <row r="1630" spans="1:9" s="17" customFormat="1" ht="16.5" customHeight="1" x14ac:dyDescent="0.2">
      <c r="A1630" s="623" t="s">
        <v>791</v>
      </c>
      <c r="B1630" s="623"/>
      <c r="C1630" s="623"/>
      <c r="D1630" s="623"/>
      <c r="E1630" s="623"/>
      <c r="F1630" s="623"/>
      <c r="G1630" s="623"/>
      <c r="H1630" s="623"/>
      <c r="I1630" s="623"/>
    </row>
    <row r="1631" spans="1:9" s="17" customFormat="1" ht="16.5" customHeight="1" x14ac:dyDescent="0.2">
      <c r="A1631" s="623" t="s">
        <v>1025</v>
      </c>
      <c r="B1631" s="623"/>
      <c r="C1631" s="623"/>
      <c r="D1631" s="623"/>
      <c r="E1631" s="623"/>
      <c r="F1631" s="623"/>
      <c r="G1631" s="623"/>
      <c r="H1631" s="623"/>
      <c r="I1631" s="623"/>
    </row>
    <row r="1632" spans="1:9" s="17" customFormat="1" ht="17.25" customHeight="1" x14ac:dyDescent="0.2">
      <c r="A1632" s="623" t="s">
        <v>1026</v>
      </c>
      <c r="B1632" s="623"/>
      <c r="C1632" s="623"/>
      <c r="D1632" s="623"/>
      <c r="E1632" s="623"/>
      <c r="F1632" s="623"/>
      <c r="G1632" s="623"/>
      <c r="H1632" s="623"/>
      <c r="I1632" s="623"/>
    </row>
    <row r="1633" spans="1:9" s="17" customFormat="1" ht="16.5" customHeight="1" x14ac:dyDescent="0.2">
      <c r="A1633" s="623" t="s">
        <v>792</v>
      </c>
      <c r="B1633" s="623"/>
      <c r="C1633" s="623"/>
      <c r="D1633" s="623"/>
      <c r="E1633" s="623"/>
      <c r="F1633" s="623"/>
      <c r="G1633" s="623"/>
      <c r="H1633" s="623"/>
      <c r="I1633" s="623"/>
    </row>
    <row r="1634" spans="1:9" s="17" customFormat="1" ht="16.5" customHeight="1" x14ac:dyDescent="0.2">
      <c r="A1634" s="249"/>
      <c r="B1634" s="249" t="s">
        <v>1027</v>
      </c>
      <c r="C1634" s="249"/>
      <c r="D1634" s="249"/>
      <c r="E1634" s="249"/>
      <c r="F1634" s="249"/>
      <c r="G1634" s="249"/>
      <c r="H1634" s="249"/>
      <c r="I1634" s="249"/>
    </row>
    <row r="1635" spans="1:9" s="17" customFormat="1" ht="16.5" customHeight="1" x14ac:dyDescent="0.2">
      <c r="A1635" s="249" t="s">
        <v>1028</v>
      </c>
      <c r="B1635" s="249"/>
      <c r="C1635" s="249"/>
      <c r="D1635" s="249"/>
      <c r="E1635" s="249"/>
      <c r="F1635" s="249"/>
      <c r="G1635" s="249"/>
      <c r="H1635" s="249"/>
      <c r="I1635" s="249"/>
    </row>
    <row r="1636" spans="1:9" s="17" customFormat="1" ht="16.5" customHeight="1" x14ac:dyDescent="0.2">
      <c r="A1636" s="303"/>
      <c r="B1636" s="623" t="s">
        <v>1029</v>
      </c>
      <c r="C1636" s="623"/>
      <c r="D1636" s="623"/>
      <c r="E1636" s="623"/>
      <c r="F1636" s="623"/>
      <c r="G1636" s="623"/>
      <c r="H1636" s="623"/>
      <c r="I1636" s="623"/>
    </row>
    <row r="1637" spans="1:9" s="17" customFormat="1" ht="16.5" customHeight="1" x14ac:dyDescent="0.2">
      <c r="A1637" s="623"/>
      <c r="B1637" s="623"/>
      <c r="C1637" s="623"/>
      <c r="D1637" s="623"/>
      <c r="E1637" s="623"/>
      <c r="F1637" s="623"/>
      <c r="G1637" s="623"/>
      <c r="H1637" s="623"/>
      <c r="I1637" s="623"/>
    </row>
    <row r="1638" spans="1:9" s="17" customFormat="1" ht="16.5" customHeight="1" x14ac:dyDescent="0.2">
      <c r="A1638" s="303"/>
      <c r="B1638" s="303"/>
      <c r="C1638" s="303"/>
      <c r="D1638" s="303"/>
      <c r="E1638" s="303"/>
      <c r="F1638" s="303"/>
      <c r="G1638" s="303"/>
      <c r="H1638" s="303"/>
      <c r="I1638" s="303"/>
    </row>
    <row r="1639" spans="1:9" s="17" customFormat="1" ht="16.5" customHeight="1" x14ac:dyDescent="0.2">
      <c r="A1639" s="756" t="s">
        <v>482</v>
      </c>
      <c r="B1639" s="756"/>
      <c r="C1639" s="756"/>
      <c r="D1639" s="756"/>
      <c r="E1639" s="756"/>
      <c r="F1639" s="756"/>
      <c r="G1639" s="756"/>
      <c r="H1639" s="756"/>
      <c r="I1639" s="756"/>
    </row>
    <row r="1640" spans="1:9" s="17" customFormat="1" ht="16.5" customHeight="1" x14ac:dyDescent="0.2">
      <c r="A1640" s="310"/>
      <c r="B1640" s="310"/>
      <c r="C1640" s="310"/>
      <c r="D1640" s="310"/>
      <c r="E1640" s="310"/>
      <c r="F1640" s="310"/>
      <c r="G1640" s="310"/>
      <c r="H1640" s="310"/>
      <c r="I1640" s="310"/>
    </row>
    <row r="1641" spans="1:9" s="17" customFormat="1" ht="16.5" customHeight="1" x14ac:dyDescent="0.2">
      <c r="A1641" s="310"/>
      <c r="B1641" s="623" t="s">
        <v>793</v>
      </c>
      <c r="C1641" s="623"/>
      <c r="D1641" s="623"/>
      <c r="E1641" s="623"/>
      <c r="F1641" s="623"/>
      <c r="G1641" s="623"/>
      <c r="H1641" s="623"/>
      <c r="I1641" s="623"/>
    </row>
    <row r="1642" spans="1:9" s="17" customFormat="1" ht="16.5" customHeight="1" x14ac:dyDescent="0.2">
      <c r="A1642" s="145"/>
      <c r="B1642" s="145"/>
      <c r="C1642" s="145"/>
      <c r="D1642" s="145"/>
      <c r="E1642" s="605" t="s">
        <v>84</v>
      </c>
      <c r="F1642" s="145"/>
      <c r="G1642" s="145"/>
      <c r="H1642" s="145"/>
      <c r="I1642" s="145"/>
    </row>
    <row r="1643" spans="1:9" s="17" customFormat="1" ht="16.5" customHeight="1" x14ac:dyDescent="0.2">
      <c r="A1643" s="224"/>
      <c r="B1643" s="247"/>
      <c r="C1643" s="15"/>
      <c r="D1643" s="156"/>
      <c r="E1643" s="605"/>
      <c r="F1643" s="156"/>
      <c r="G1643" s="224"/>
      <c r="H1643" s="156"/>
      <c r="I1643" s="156"/>
    </row>
    <row r="1644" spans="1:9" s="17" customFormat="1" ht="16.5" customHeight="1" x14ac:dyDescent="0.2">
      <c r="A1644" s="192" t="s">
        <v>48</v>
      </c>
      <c r="B1644" s="615" t="s">
        <v>49</v>
      </c>
      <c r="C1644" s="616"/>
      <c r="D1644" s="411" t="s">
        <v>85</v>
      </c>
      <c r="E1644" s="409" t="s">
        <v>152</v>
      </c>
      <c r="F1644" s="42" t="s">
        <v>86</v>
      </c>
      <c r="G1644" s="619" t="s">
        <v>52</v>
      </c>
      <c r="H1644" s="620"/>
      <c r="I1644" s="613" t="s">
        <v>53</v>
      </c>
    </row>
    <row r="1645" spans="1:9" s="17" customFormat="1" ht="12" customHeight="1" x14ac:dyDescent="0.2">
      <c r="A1645" s="193" t="s">
        <v>87</v>
      </c>
      <c r="B1645" s="617"/>
      <c r="C1645" s="618"/>
      <c r="D1645" s="412" t="s">
        <v>537</v>
      </c>
      <c r="E1645" s="44" t="s">
        <v>571</v>
      </c>
      <c r="F1645" s="44" t="s">
        <v>571</v>
      </c>
      <c r="G1645" s="29" t="s">
        <v>55</v>
      </c>
      <c r="H1645" s="29" t="s">
        <v>56</v>
      </c>
      <c r="I1645" s="614"/>
    </row>
    <row r="1646" spans="1:9" s="17" customFormat="1" ht="12" customHeight="1" x14ac:dyDescent="0.2">
      <c r="A1646" s="164">
        <v>1</v>
      </c>
      <c r="B1646" s="717">
        <v>2</v>
      </c>
      <c r="C1646" s="718"/>
      <c r="D1646" s="163">
        <v>3</v>
      </c>
      <c r="E1646" s="147">
        <v>4</v>
      </c>
      <c r="F1646" s="147">
        <v>5</v>
      </c>
      <c r="G1646" s="147">
        <v>6</v>
      </c>
      <c r="H1646" s="147">
        <v>7</v>
      </c>
      <c r="I1646" s="164">
        <v>8</v>
      </c>
    </row>
    <row r="1647" spans="1:9" s="17" customFormat="1" ht="16.5" customHeight="1" x14ac:dyDescent="0.2">
      <c r="A1647" s="86">
        <v>111</v>
      </c>
      <c r="B1647" s="601" t="s">
        <v>184</v>
      </c>
      <c r="C1647" s="602"/>
      <c r="D1647" s="6">
        <f>D622</f>
        <v>234787.76</v>
      </c>
      <c r="E1647" s="6">
        <f>E622</f>
        <v>238108.2</v>
      </c>
      <c r="F1647" s="6">
        <f>F622</f>
        <v>237211.2</v>
      </c>
      <c r="G1647" s="91">
        <f t="shared" ref="G1647:G1652" si="91">F1647/D1647</f>
        <v>1.0103218327906021</v>
      </c>
      <c r="H1647" s="92">
        <f t="shared" ref="H1647:H1652" si="92">F1647/E1647</f>
        <v>0.99623280508609113</v>
      </c>
      <c r="I1647" s="92">
        <f>F1647/F1652</f>
        <v>0.18434081895277321</v>
      </c>
    </row>
    <row r="1648" spans="1:9" s="17" customFormat="1" ht="16.5" customHeight="1" x14ac:dyDescent="0.2">
      <c r="A1648" s="86">
        <v>130</v>
      </c>
      <c r="B1648" s="601" t="s">
        <v>185</v>
      </c>
      <c r="C1648" s="602"/>
      <c r="D1648" s="110">
        <f>D843</f>
        <v>54111.360000000001</v>
      </c>
      <c r="E1648" s="110">
        <f>E843</f>
        <v>51899.65</v>
      </c>
      <c r="F1648" s="110">
        <f>F843</f>
        <v>50973.08</v>
      </c>
      <c r="G1648" s="284">
        <f>F1648/D1648</f>
        <v>0.94200330577534919</v>
      </c>
      <c r="H1648" s="243">
        <f>F1648/E1648</f>
        <v>0.98214689309080117</v>
      </c>
      <c r="I1648" s="285">
        <f>F1648/F1652</f>
        <v>3.9612039025750993E-2</v>
      </c>
    </row>
    <row r="1649" spans="1:9" s="17" customFormat="1" ht="16.5" customHeight="1" x14ac:dyDescent="0.2">
      <c r="A1649" s="86">
        <v>132</v>
      </c>
      <c r="B1649" s="601" t="s">
        <v>186</v>
      </c>
      <c r="C1649" s="602"/>
      <c r="D1649" s="6">
        <f>D955</f>
        <v>0</v>
      </c>
      <c r="E1649" s="6">
        <f>E955</f>
        <v>0</v>
      </c>
      <c r="F1649" s="6">
        <f>F955</f>
        <v>0</v>
      </c>
      <c r="G1649" s="321" t="e">
        <f t="shared" si="91"/>
        <v>#DIV/0!</v>
      </c>
      <c r="H1649" s="92" t="e">
        <f t="shared" si="92"/>
        <v>#DIV/0!</v>
      </c>
      <c r="I1649" s="277">
        <f>F1649/F1652</f>
        <v>0</v>
      </c>
    </row>
    <row r="1650" spans="1:9" s="17" customFormat="1" ht="16.5" customHeight="1" x14ac:dyDescent="0.2">
      <c r="A1650" s="86">
        <v>200</v>
      </c>
      <c r="B1650" s="601" t="s">
        <v>187</v>
      </c>
      <c r="C1650" s="602"/>
      <c r="D1650" s="6">
        <f>D1067</f>
        <v>0</v>
      </c>
      <c r="E1650" s="6">
        <f>E1067</f>
        <v>0</v>
      </c>
      <c r="F1650" s="6">
        <f>F1067</f>
        <v>0</v>
      </c>
      <c r="G1650" s="321" t="e">
        <f t="shared" si="91"/>
        <v>#DIV/0!</v>
      </c>
      <c r="H1650" s="92" t="e">
        <f t="shared" si="92"/>
        <v>#DIV/0!</v>
      </c>
      <c r="I1650" s="277">
        <f>F1650/F1652</f>
        <v>0</v>
      </c>
    </row>
    <row r="1651" spans="1:9" s="17" customFormat="1" ht="16.5" customHeight="1" x14ac:dyDescent="0.2">
      <c r="A1651" s="86">
        <v>300</v>
      </c>
      <c r="B1651" s="601" t="s">
        <v>188</v>
      </c>
      <c r="C1651" s="602"/>
      <c r="D1651" s="322">
        <f>D1177</f>
        <v>799378.49</v>
      </c>
      <c r="E1651" s="322">
        <f>E1177</f>
        <v>1161193.29</v>
      </c>
      <c r="F1651" s="322">
        <f>F1177</f>
        <v>998623.5</v>
      </c>
      <c r="G1651" s="242">
        <f t="shared" si="91"/>
        <v>1.2492499016329548</v>
      </c>
      <c r="H1651" s="267">
        <f t="shared" si="92"/>
        <v>0.85999764948693425</v>
      </c>
      <c r="I1651" s="243">
        <f>F1651/F1652</f>
        <v>0.77604714202147584</v>
      </c>
    </row>
    <row r="1652" spans="1:9" s="17" customFormat="1" ht="16.5" customHeight="1" x14ac:dyDescent="0.2">
      <c r="A1652" s="168"/>
      <c r="B1652" s="625" t="s">
        <v>83</v>
      </c>
      <c r="C1652" s="626"/>
      <c r="D1652" s="508">
        <f>D1647+D1648+D1649+D1650+D1651</f>
        <v>1088277.6099999999</v>
      </c>
      <c r="E1652" s="508">
        <f>E1647+E1648+E1649+E1650+E1651</f>
        <v>1451201.1400000001</v>
      </c>
      <c r="F1652" s="414">
        <f>F1647+F1648+F1649+F1650+F1651</f>
        <v>1286807.78</v>
      </c>
      <c r="G1652" s="200">
        <f t="shared" si="91"/>
        <v>1.1824260355774481</v>
      </c>
      <c r="H1652" s="155">
        <f t="shared" si="92"/>
        <v>0.88671910773168217</v>
      </c>
      <c r="I1652" s="155">
        <f>I1647+I1648+I1649+I1650+I1651</f>
        <v>1</v>
      </c>
    </row>
    <row r="1653" spans="1:9" s="17" customFormat="1" ht="16.5" customHeight="1" x14ac:dyDescent="0.2">
      <c r="A1653" s="295"/>
      <c r="B1653" s="295"/>
      <c r="C1653" s="295"/>
      <c r="D1653" s="295"/>
      <c r="E1653" s="295"/>
      <c r="F1653" s="295"/>
      <c r="G1653" s="156"/>
      <c r="H1653" s="297"/>
      <c r="I1653" s="312"/>
    </row>
    <row r="1654" spans="1:9" s="17" customFormat="1" ht="16.5" customHeight="1" x14ac:dyDescent="0.2">
      <c r="A1654" s="264"/>
      <c r="B1654" s="627" t="s">
        <v>794</v>
      </c>
      <c r="C1654" s="627"/>
      <c r="D1654" s="627"/>
      <c r="E1654" s="627"/>
      <c r="F1654" s="627"/>
      <c r="G1654" s="627"/>
      <c r="H1654" s="627"/>
      <c r="I1654" s="627"/>
    </row>
    <row r="1655" spans="1:9" s="17" customFormat="1" ht="16.5" customHeight="1" x14ac:dyDescent="0.2">
      <c r="A1655" s="627" t="s">
        <v>532</v>
      </c>
      <c r="B1655" s="627"/>
      <c r="C1655" s="627"/>
      <c r="D1655" s="627"/>
      <c r="E1655" s="627"/>
      <c r="F1655" s="627"/>
      <c r="G1655" s="627"/>
      <c r="H1655" s="627"/>
      <c r="I1655" s="627"/>
    </row>
    <row r="1656" spans="1:9" s="17" customFormat="1" ht="16.5" customHeight="1" x14ac:dyDescent="0.2">
      <c r="A1656" s="621" t="s">
        <v>795</v>
      </c>
      <c r="B1656" s="621"/>
      <c r="C1656" s="621"/>
      <c r="D1656" s="621"/>
      <c r="E1656" s="621"/>
      <c r="F1656" s="621"/>
      <c r="G1656" s="621"/>
      <c r="H1656" s="621"/>
      <c r="I1656" s="621"/>
    </row>
    <row r="1657" spans="1:9" s="17" customFormat="1" ht="16.5" customHeight="1" x14ac:dyDescent="0.2">
      <c r="A1657" s="621" t="s">
        <v>796</v>
      </c>
      <c r="B1657" s="621"/>
      <c r="C1657" s="621"/>
      <c r="D1657" s="621"/>
      <c r="E1657" s="621"/>
      <c r="F1657" s="621"/>
      <c r="G1657" s="621"/>
      <c r="H1657" s="621"/>
      <c r="I1657" s="621"/>
    </row>
    <row r="1658" spans="1:9" s="17" customFormat="1" ht="16.5" customHeight="1" x14ac:dyDescent="0.2">
      <c r="A1658" s="621" t="s">
        <v>797</v>
      </c>
      <c r="B1658" s="621"/>
      <c r="C1658" s="621"/>
      <c r="D1658" s="621"/>
      <c r="E1658" s="621"/>
      <c r="F1658" s="621"/>
      <c r="G1658" s="621"/>
      <c r="H1658" s="621"/>
      <c r="I1658" s="621"/>
    </row>
    <row r="1659" spans="1:9" s="17" customFormat="1" ht="16.5" customHeight="1" x14ac:dyDescent="0.2">
      <c r="A1659" s="621" t="s">
        <v>798</v>
      </c>
      <c r="B1659" s="621"/>
      <c r="C1659" s="621"/>
      <c r="D1659" s="621"/>
      <c r="E1659" s="621"/>
      <c r="F1659" s="621"/>
      <c r="G1659" s="621"/>
      <c r="H1659" s="621"/>
      <c r="I1659" s="621"/>
    </row>
    <row r="1660" spans="1:9" s="17" customFormat="1" ht="16.5" customHeight="1" x14ac:dyDescent="0.2">
      <c r="A1660" s="621" t="s">
        <v>799</v>
      </c>
      <c r="B1660" s="621"/>
      <c r="C1660" s="621"/>
      <c r="D1660" s="621"/>
      <c r="E1660" s="621"/>
      <c r="F1660" s="621"/>
      <c r="G1660" s="621"/>
      <c r="H1660" s="621"/>
      <c r="I1660" s="621"/>
    </row>
    <row r="1661" spans="1:9" s="17" customFormat="1" ht="16.5" customHeight="1" x14ac:dyDescent="0.2">
      <c r="A1661" s="621" t="s">
        <v>800</v>
      </c>
      <c r="B1661" s="621"/>
      <c r="C1661" s="621"/>
      <c r="D1661" s="621"/>
      <c r="E1661" s="621"/>
      <c r="F1661" s="621"/>
      <c r="G1661" s="621"/>
      <c r="H1661" s="621"/>
      <c r="I1661" s="621"/>
    </row>
    <row r="1662" spans="1:9" s="17" customFormat="1" ht="16.5" customHeight="1" x14ac:dyDescent="0.2">
      <c r="A1662" s="145"/>
      <c r="B1662" s="621" t="s">
        <v>801</v>
      </c>
      <c r="C1662" s="621"/>
      <c r="D1662" s="621"/>
      <c r="E1662" s="621"/>
      <c r="F1662" s="621"/>
      <c r="G1662" s="621"/>
      <c r="H1662" s="621"/>
      <c r="I1662" s="621"/>
    </row>
    <row r="1663" spans="1:9" s="17" customFormat="1" ht="16.5" customHeight="1" x14ac:dyDescent="0.2">
      <c r="A1663" s="156" t="s">
        <v>802</v>
      </c>
      <c r="B1663" s="160"/>
      <c r="C1663" s="160"/>
      <c r="D1663" s="160"/>
      <c r="E1663" s="160"/>
      <c r="F1663" s="160"/>
      <c r="G1663" s="160"/>
      <c r="H1663" s="160"/>
      <c r="I1663" s="160">
        <v>29</v>
      </c>
    </row>
    <row r="1664" spans="1:9" s="17" customFormat="1" ht="16.5" customHeight="1" x14ac:dyDescent="0.2">
      <c r="A1664" s="21"/>
      <c r="B1664" s="21"/>
      <c r="C1664" s="21"/>
      <c r="D1664" s="21"/>
      <c r="E1664" s="21"/>
      <c r="F1664" s="21"/>
      <c r="G1664" s="21"/>
      <c r="H1664" s="21"/>
      <c r="I1664" s="21"/>
    </row>
    <row r="1665" spans="1:9" s="17" customFormat="1" ht="16.5" customHeight="1" x14ac:dyDescent="0.2">
      <c r="A1665" s="279"/>
      <c r="B1665" s="635" t="s">
        <v>339</v>
      </c>
      <c r="C1665" s="635"/>
      <c r="D1665" s="635"/>
      <c r="E1665" s="635"/>
      <c r="F1665" s="279"/>
      <c r="G1665" s="20"/>
      <c r="H1665" s="297"/>
      <c r="I1665" s="280"/>
    </row>
    <row r="1666" spans="1:9" s="17" customFormat="1" ht="16.5" customHeight="1" x14ac:dyDescent="0.2">
      <c r="A1666" s="279"/>
      <c r="B1666" s="24"/>
      <c r="C1666" s="24"/>
      <c r="D1666" s="24"/>
      <c r="E1666" s="24"/>
      <c r="F1666" s="279"/>
      <c r="G1666" s="20"/>
      <c r="H1666" s="297"/>
      <c r="I1666" s="280"/>
    </row>
    <row r="1667" spans="1:9" s="17" customFormat="1" ht="16.5" customHeight="1" x14ac:dyDescent="0.2">
      <c r="A1667" s="21"/>
      <c r="B1667" s="603" t="s">
        <v>803</v>
      </c>
      <c r="C1667" s="603"/>
      <c r="D1667" s="603"/>
      <c r="E1667" s="603"/>
      <c r="F1667" s="603"/>
      <c r="G1667" s="603"/>
      <c r="H1667" s="603"/>
      <c r="I1667" s="603"/>
    </row>
    <row r="1668" spans="1:9" s="17" customFormat="1" ht="16.5" customHeight="1" x14ac:dyDescent="0.2">
      <c r="A1668" s="603" t="s">
        <v>804</v>
      </c>
      <c r="B1668" s="603"/>
      <c r="C1668" s="603"/>
      <c r="D1668" s="603"/>
      <c r="E1668" s="603"/>
      <c r="F1668" s="603"/>
      <c r="G1668" s="603"/>
      <c r="H1668" s="603"/>
      <c r="I1668" s="603"/>
    </row>
    <row r="1669" spans="1:9" s="17" customFormat="1" ht="16.5" customHeight="1" x14ac:dyDescent="0.2">
      <c r="A1669" s="21"/>
      <c r="B1669" s="603" t="s">
        <v>327</v>
      </c>
      <c r="C1669" s="603"/>
      <c r="D1669" s="603"/>
      <c r="E1669" s="603"/>
      <c r="F1669" s="603"/>
      <c r="G1669" s="603"/>
      <c r="H1669" s="603"/>
      <c r="I1669" s="603"/>
    </row>
    <row r="1670" spans="1:9" s="17" customFormat="1" ht="16.5" customHeight="1" x14ac:dyDescent="0.2">
      <c r="A1670" s="145"/>
      <c r="B1670" s="145"/>
      <c r="C1670" s="145"/>
      <c r="D1670" s="145"/>
      <c r="E1670" s="605" t="s">
        <v>84</v>
      </c>
      <c r="F1670" s="145"/>
      <c r="G1670" s="145"/>
      <c r="H1670" s="145"/>
      <c r="I1670" s="145"/>
    </row>
    <row r="1671" spans="1:9" s="17" customFormat="1" ht="16.5" customHeight="1" x14ac:dyDescent="0.2">
      <c r="A1671" s="224"/>
      <c r="B1671" s="247"/>
      <c r="C1671" s="15"/>
      <c r="D1671" s="156"/>
      <c r="E1671" s="605"/>
      <c r="F1671" s="156"/>
      <c r="G1671" s="224"/>
      <c r="H1671" s="156"/>
      <c r="I1671" s="156"/>
    </row>
    <row r="1672" spans="1:9" s="17" customFormat="1" ht="16.5" customHeight="1" x14ac:dyDescent="0.2">
      <c r="A1672" s="192" t="s">
        <v>48</v>
      </c>
      <c r="B1672" s="615" t="s">
        <v>49</v>
      </c>
      <c r="C1672" s="616"/>
      <c r="D1672" s="411" t="s">
        <v>85</v>
      </c>
      <c r="E1672" s="409" t="s">
        <v>320</v>
      </c>
      <c r="F1672" s="42" t="s">
        <v>86</v>
      </c>
      <c r="G1672" s="619" t="s">
        <v>52</v>
      </c>
      <c r="H1672" s="620"/>
      <c r="I1672" s="613" t="s">
        <v>53</v>
      </c>
    </row>
    <row r="1673" spans="1:9" s="17" customFormat="1" ht="12" customHeight="1" x14ac:dyDescent="0.2">
      <c r="A1673" s="193" t="s">
        <v>87</v>
      </c>
      <c r="B1673" s="617"/>
      <c r="C1673" s="618"/>
      <c r="D1673" s="412" t="s">
        <v>537</v>
      </c>
      <c r="E1673" s="44" t="s">
        <v>571</v>
      </c>
      <c r="F1673" s="44" t="s">
        <v>571</v>
      </c>
      <c r="G1673" s="29" t="s">
        <v>55</v>
      </c>
      <c r="H1673" s="29" t="s">
        <v>56</v>
      </c>
      <c r="I1673" s="614"/>
    </row>
    <row r="1674" spans="1:9" s="17" customFormat="1" ht="12" customHeight="1" x14ac:dyDescent="0.2">
      <c r="A1674" s="150">
        <v>1</v>
      </c>
      <c r="B1674" s="717">
        <v>2</v>
      </c>
      <c r="C1674" s="718"/>
      <c r="D1674" s="163">
        <v>3</v>
      </c>
      <c r="E1674" s="147">
        <v>4</v>
      </c>
      <c r="F1674" s="147">
        <v>5</v>
      </c>
      <c r="G1674" s="147">
        <v>6</v>
      </c>
      <c r="H1674" s="147">
        <v>7</v>
      </c>
      <c r="I1674" s="164">
        <v>8</v>
      </c>
    </row>
    <row r="1675" spans="1:9" s="17" customFormat="1" ht="16.5" customHeight="1" x14ac:dyDescent="0.2">
      <c r="A1675" s="84">
        <v>50008</v>
      </c>
      <c r="B1675" s="654" t="s">
        <v>389</v>
      </c>
      <c r="C1675" s="655"/>
      <c r="D1675" s="87">
        <f t="shared" ref="D1675:F1676" si="93">D270</f>
        <v>13290</v>
      </c>
      <c r="E1675" s="87">
        <f t="shared" si="93"/>
        <v>0</v>
      </c>
      <c r="F1675" s="87">
        <f t="shared" si="93"/>
        <v>24155</v>
      </c>
      <c r="G1675" s="91">
        <f>F1675/D1675</f>
        <v>1.8175319789315274</v>
      </c>
      <c r="H1675" s="166" t="e">
        <f>F1675/E1675</f>
        <v>#DIV/0!</v>
      </c>
      <c r="I1675" s="92">
        <f>F1675/F1678</f>
        <v>0.37990783755137719</v>
      </c>
    </row>
    <row r="1676" spans="1:9" s="17" customFormat="1" ht="16.5" customHeight="1" x14ac:dyDescent="0.2">
      <c r="A1676" s="84" t="s">
        <v>340</v>
      </c>
      <c r="B1676" s="654" t="s">
        <v>341</v>
      </c>
      <c r="C1676" s="655"/>
      <c r="D1676" s="87">
        <f t="shared" si="93"/>
        <v>84181.54</v>
      </c>
      <c r="E1676" s="87">
        <f t="shared" si="93"/>
        <v>0</v>
      </c>
      <c r="F1676" s="87">
        <f t="shared" si="93"/>
        <v>39426.21</v>
      </c>
      <c r="G1676" s="91">
        <f>F1676/D1676</f>
        <v>0.46834745479828477</v>
      </c>
      <c r="H1676" s="166" t="e">
        <f>F1676/E1676</f>
        <v>#DIV/0!</v>
      </c>
      <c r="I1676" s="92">
        <f>F1676/F1678</f>
        <v>0.62009216244862275</v>
      </c>
    </row>
    <row r="1677" spans="1:9" s="17" customFormat="1" ht="16.5" customHeight="1" x14ac:dyDescent="0.2">
      <c r="A1677" s="94" t="s">
        <v>471</v>
      </c>
      <c r="B1677" s="672" t="s">
        <v>96</v>
      </c>
      <c r="C1677" s="673"/>
      <c r="D1677" s="426">
        <f>SUM(D1675:D1676)</f>
        <v>97471.54</v>
      </c>
      <c r="E1677" s="95">
        <v>0</v>
      </c>
      <c r="F1677" s="561">
        <f>F1675+F1676</f>
        <v>63581.21</v>
      </c>
      <c r="G1677" s="91">
        <v>0</v>
      </c>
      <c r="H1677" s="166">
        <v>0</v>
      </c>
      <c r="I1677" s="92">
        <v>0</v>
      </c>
    </row>
    <row r="1678" spans="1:9" s="17" customFormat="1" ht="16.5" customHeight="1" x14ac:dyDescent="0.2">
      <c r="A1678" s="49"/>
      <c r="B1678" s="625" t="s">
        <v>331</v>
      </c>
      <c r="C1678" s="626"/>
      <c r="D1678" s="512">
        <f>D1677</f>
        <v>97471.54</v>
      </c>
      <c r="E1678" s="512">
        <f>E1675+E1676</f>
        <v>0</v>
      </c>
      <c r="F1678" s="512">
        <f>F1675+F1676</f>
        <v>63581.21</v>
      </c>
      <c r="G1678" s="170">
        <f>F1678/D1678</f>
        <v>0.6523053806270015</v>
      </c>
      <c r="H1678" s="155" t="e">
        <f>F1678/E1678</f>
        <v>#DIV/0!</v>
      </c>
      <c r="I1678" s="155">
        <f>I1675+I1676</f>
        <v>1</v>
      </c>
    </row>
    <row r="1679" spans="1:9" s="17" customFormat="1" ht="16.5" customHeight="1" x14ac:dyDescent="0.2">
      <c r="A1679" s="201"/>
      <c r="B1679" s="201"/>
      <c r="C1679" s="201"/>
      <c r="D1679" s="324"/>
      <c r="E1679" s="324"/>
      <c r="F1679" s="204"/>
      <c r="G1679" s="320"/>
      <c r="H1679" s="320"/>
      <c r="I1679" s="280"/>
    </row>
    <row r="1680" spans="1:9" s="17" customFormat="1" ht="16.5" customHeight="1" x14ac:dyDescent="0.2">
      <c r="A1680" s="623" t="s">
        <v>805</v>
      </c>
      <c r="B1680" s="623"/>
      <c r="C1680" s="623"/>
      <c r="D1680" s="623"/>
      <c r="E1680" s="623"/>
      <c r="F1680" s="623"/>
      <c r="G1680" s="623"/>
      <c r="H1680" s="623"/>
      <c r="I1680" s="623"/>
    </row>
    <row r="1681" spans="1:9" s="17" customFormat="1" ht="16.5" customHeight="1" x14ac:dyDescent="0.2">
      <c r="A1681" s="623" t="s">
        <v>806</v>
      </c>
      <c r="B1681" s="623"/>
      <c r="C1681" s="623"/>
      <c r="D1681" s="623"/>
      <c r="E1681" s="623"/>
      <c r="F1681" s="623"/>
      <c r="G1681" s="623"/>
      <c r="H1681" s="623"/>
      <c r="I1681" s="623"/>
    </row>
    <row r="1682" spans="1:9" s="17" customFormat="1" ht="12" customHeight="1" x14ac:dyDescent="0.2">
      <c r="A1682" s="623" t="s">
        <v>807</v>
      </c>
      <c r="B1682" s="623"/>
      <c r="C1682" s="623"/>
      <c r="D1682" s="623"/>
      <c r="E1682" s="623"/>
      <c r="F1682" s="623"/>
      <c r="G1682" s="623"/>
      <c r="H1682" s="623"/>
      <c r="I1682" s="623"/>
    </row>
    <row r="1683" spans="1:9" s="17" customFormat="1" ht="16.5" customHeight="1" x14ac:dyDescent="0.2">
      <c r="A1683" s="623" t="s">
        <v>808</v>
      </c>
      <c r="B1683" s="623"/>
      <c r="C1683" s="623"/>
      <c r="D1683" s="623"/>
      <c r="E1683" s="623"/>
      <c r="F1683" s="623"/>
      <c r="G1683" s="623"/>
      <c r="H1683" s="623"/>
      <c r="I1683" s="623"/>
    </row>
    <row r="1684" spans="1:9" s="17" customFormat="1" ht="16.5" customHeight="1" x14ac:dyDescent="0.2">
      <c r="A1684" s="623" t="s">
        <v>809</v>
      </c>
      <c r="B1684" s="623"/>
      <c r="C1684" s="623"/>
      <c r="D1684" s="623"/>
      <c r="E1684" s="623"/>
      <c r="F1684" s="623"/>
      <c r="G1684" s="623"/>
      <c r="H1684" s="623"/>
      <c r="I1684" s="623"/>
    </row>
    <row r="1685" spans="1:9" s="17" customFormat="1" ht="16.5" customHeight="1" x14ac:dyDescent="0.2">
      <c r="A1685" s="303"/>
      <c r="B1685" s="303"/>
      <c r="C1685" s="303"/>
      <c r="D1685" s="303"/>
      <c r="E1685" s="303"/>
      <c r="F1685" s="303"/>
      <c r="G1685" s="303"/>
      <c r="H1685" s="303"/>
      <c r="I1685" s="249"/>
    </row>
    <row r="1686" spans="1:9" s="17" customFormat="1" ht="16.5" customHeight="1" x14ac:dyDescent="0.2">
      <c r="A1686" s="303"/>
      <c r="B1686" s="303"/>
      <c r="C1686" s="303"/>
      <c r="D1686" s="303"/>
      <c r="E1686" s="303"/>
      <c r="F1686" s="303"/>
      <c r="G1686" s="303"/>
      <c r="H1686" s="303"/>
      <c r="I1686" s="249"/>
    </row>
    <row r="1687" spans="1:9" s="17" customFormat="1" ht="16.5" customHeight="1" x14ac:dyDescent="0.2">
      <c r="A1687" s="303"/>
      <c r="B1687" s="303"/>
      <c r="C1687" s="303"/>
      <c r="D1687" s="303"/>
      <c r="E1687" s="303"/>
      <c r="F1687" s="303"/>
      <c r="G1687" s="303"/>
      <c r="H1687" s="303"/>
      <c r="I1687" s="249"/>
    </row>
    <row r="1688" spans="1:9" s="17" customFormat="1" ht="16.5" customHeight="1" x14ac:dyDescent="0.2">
      <c r="A1688" s="303"/>
      <c r="B1688" s="303"/>
      <c r="C1688" s="303"/>
      <c r="D1688" s="303"/>
      <c r="E1688" s="303"/>
      <c r="F1688" s="303"/>
      <c r="G1688" s="303"/>
      <c r="H1688" s="303"/>
      <c r="I1688" s="249"/>
    </row>
    <row r="1689" spans="1:9" s="17" customFormat="1" ht="16.5" customHeight="1" x14ac:dyDescent="0.2">
      <c r="A1689" s="303"/>
      <c r="B1689" s="303"/>
      <c r="C1689" s="303"/>
      <c r="D1689" s="303"/>
      <c r="E1689" s="303"/>
      <c r="F1689" s="303"/>
      <c r="G1689" s="303"/>
      <c r="H1689" s="303"/>
      <c r="I1689" s="249"/>
    </row>
    <row r="1690" spans="1:9" s="17" customFormat="1" ht="16.5" customHeight="1" x14ac:dyDescent="0.2">
      <c r="A1690" s="303"/>
      <c r="B1690" s="303"/>
      <c r="C1690" s="303"/>
      <c r="D1690" s="303"/>
      <c r="E1690" s="303"/>
      <c r="F1690" s="303"/>
      <c r="G1690" s="303"/>
      <c r="H1690" s="303"/>
      <c r="I1690" s="249"/>
    </row>
    <row r="1691" spans="1:9" s="17" customFormat="1" ht="16.5" customHeight="1" x14ac:dyDescent="0.2">
      <c r="A1691" s="756" t="s">
        <v>493</v>
      </c>
      <c r="B1691" s="756"/>
      <c r="C1691" s="756"/>
      <c r="D1691" s="756"/>
      <c r="E1691" s="756"/>
      <c r="F1691" s="756"/>
      <c r="G1691" s="756"/>
      <c r="H1691" s="756"/>
      <c r="I1691" s="756"/>
    </row>
    <row r="1692" spans="1:9" s="17" customFormat="1" ht="16.5" customHeight="1" x14ac:dyDescent="0.2">
      <c r="A1692" s="145"/>
      <c r="B1692" s="145"/>
      <c r="C1692" s="145"/>
      <c r="D1692" s="145"/>
      <c r="E1692" s="605" t="s">
        <v>84</v>
      </c>
      <c r="F1692" s="145"/>
      <c r="G1692" s="145"/>
      <c r="H1692" s="145"/>
      <c r="I1692" s="145"/>
    </row>
    <row r="1693" spans="1:9" s="17" customFormat="1" ht="17.25" customHeight="1" x14ac:dyDescent="0.2">
      <c r="A1693" s="224"/>
      <c r="B1693" s="247"/>
      <c r="C1693" s="15"/>
      <c r="D1693" s="156"/>
      <c r="E1693" s="605"/>
      <c r="F1693" s="156"/>
      <c r="G1693" s="224"/>
      <c r="H1693" s="156"/>
      <c r="I1693" s="156"/>
    </row>
    <row r="1694" spans="1:9" s="17" customFormat="1" ht="16.5" customHeight="1" x14ac:dyDescent="0.2">
      <c r="A1694" s="192" t="s">
        <v>48</v>
      </c>
      <c r="B1694" s="615" t="s">
        <v>49</v>
      </c>
      <c r="C1694" s="616"/>
      <c r="D1694" s="411" t="s">
        <v>85</v>
      </c>
      <c r="E1694" s="409" t="s">
        <v>152</v>
      </c>
      <c r="F1694" s="42" t="s">
        <v>86</v>
      </c>
      <c r="G1694" s="619" t="s">
        <v>52</v>
      </c>
      <c r="H1694" s="620"/>
      <c r="I1694" s="613" t="s">
        <v>53</v>
      </c>
    </row>
    <row r="1695" spans="1:9" s="17" customFormat="1" ht="15.75" customHeight="1" x14ac:dyDescent="0.2">
      <c r="A1695" s="193" t="s">
        <v>87</v>
      </c>
      <c r="B1695" s="617"/>
      <c r="C1695" s="618"/>
      <c r="D1695" s="412" t="s">
        <v>537</v>
      </c>
      <c r="E1695" s="44" t="s">
        <v>571</v>
      </c>
      <c r="F1695" s="44" t="s">
        <v>571</v>
      </c>
      <c r="G1695" s="29" t="s">
        <v>55</v>
      </c>
      <c r="H1695" s="29" t="s">
        <v>56</v>
      </c>
      <c r="I1695" s="614"/>
    </row>
    <row r="1696" spans="1:9" s="17" customFormat="1" ht="15.75" customHeight="1" x14ac:dyDescent="0.2">
      <c r="A1696" s="164">
        <v>1</v>
      </c>
      <c r="B1696" s="717">
        <v>2</v>
      </c>
      <c r="C1696" s="718"/>
      <c r="D1696" s="163">
        <v>3</v>
      </c>
      <c r="E1696" s="147">
        <v>4</v>
      </c>
      <c r="F1696" s="147">
        <v>5</v>
      </c>
      <c r="G1696" s="147">
        <v>6</v>
      </c>
      <c r="H1696" s="147">
        <v>7</v>
      </c>
      <c r="I1696" s="164">
        <v>8</v>
      </c>
    </row>
    <row r="1697" spans="1:9" s="17" customFormat="1" ht="16.5" customHeight="1" x14ac:dyDescent="0.2">
      <c r="A1697" s="86">
        <v>111</v>
      </c>
      <c r="B1697" s="601" t="s">
        <v>184</v>
      </c>
      <c r="C1697" s="602"/>
      <c r="D1697" s="6">
        <f>D624</f>
        <v>89487.16</v>
      </c>
      <c r="E1697" s="6">
        <f>E624</f>
        <v>124151.12</v>
      </c>
      <c r="F1697" s="6">
        <f>F624</f>
        <v>124151.12</v>
      </c>
      <c r="G1697" s="91">
        <f t="shared" ref="G1697:G1702" si="94">F1697/D1697</f>
        <v>1.3873623880789154</v>
      </c>
      <c r="H1697" s="92">
        <f t="shared" ref="H1697:H1702" si="95">F1697/E1697</f>
        <v>1</v>
      </c>
      <c r="I1697" s="92">
        <f>F1697/F1702</f>
        <v>1.433408787029484E-2</v>
      </c>
    </row>
    <row r="1698" spans="1:9" s="17" customFormat="1" ht="16.5" customHeight="1" x14ac:dyDescent="0.2">
      <c r="A1698" s="86">
        <v>130</v>
      </c>
      <c r="B1698" s="601" t="s">
        <v>185</v>
      </c>
      <c r="C1698" s="602"/>
      <c r="D1698" s="6">
        <f>D845</f>
        <v>668167.68999999994</v>
      </c>
      <c r="E1698" s="6">
        <f>E845</f>
        <v>682000</v>
      </c>
      <c r="F1698" s="6">
        <f>F845</f>
        <v>681716.8</v>
      </c>
      <c r="G1698" s="91">
        <f t="shared" si="94"/>
        <v>1.0202780083544598</v>
      </c>
      <c r="H1698" s="92">
        <f t="shared" si="95"/>
        <v>0.99958475073313791</v>
      </c>
      <c r="I1698" s="92">
        <f>F1698/F1702</f>
        <v>7.8708822875349124E-2</v>
      </c>
    </row>
    <row r="1699" spans="1:9" s="17" customFormat="1" ht="16.5" customHeight="1" x14ac:dyDescent="0.2">
      <c r="A1699" s="86">
        <v>132</v>
      </c>
      <c r="B1699" s="601" t="s">
        <v>186</v>
      </c>
      <c r="C1699" s="602"/>
      <c r="D1699" s="6">
        <f>D957</f>
        <v>335557.62</v>
      </c>
      <c r="E1699" s="6">
        <f>E957</f>
        <v>401053.18</v>
      </c>
      <c r="F1699" s="6">
        <f>F957</f>
        <v>400365.49</v>
      </c>
      <c r="G1699" s="91">
        <f t="shared" si="94"/>
        <v>1.1931348481968611</v>
      </c>
      <c r="H1699" s="92">
        <f t="shared" si="95"/>
        <v>0.99828528974636233</v>
      </c>
      <c r="I1699" s="92">
        <f>F1699/F1702</f>
        <v>4.6224908111128199E-2</v>
      </c>
    </row>
    <row r="1700" spans="1:9" s="17" customFormat="1" ht="16.5" customHeight="1" x14ac:dyDescent="0.2">
      <c r="A1700" s="86">
        <v>200</v>
      </c>
      <c r="B1700" s="601" t="s">
        <v>187</v>
      </c>
      <c r="C1700" s="602"/>
      <c r="D1700" s="6">
        <f>D1069</f>
        <v>0</v>
      </c>
      <c r="E1700" s="6">
        <f>E1069</f>
        <v>0</v>
      </c>
      <c r="F1700" s="6">
        <f>F1069</f>
        <v>0</v>
      </c>
      <c r="G1700" s="91" t="e">
        <f t="shared" si="94"/>
        <v>#DIV/0!</v>
      </c>
      <c r="H1700" s="92" t="e">
        <f t="shared" si="95"/>
        <v>#DIV/0!</v>
      </c>
      <c r="I1700" s="92">
        <f>F1700/F1702</f>
        <v>0</v>
      </c>
    </row>
    <row r="1701" spans="1:9" s="17" customFormat="1" ht="16.5" customHeight="1" x14ac:dyDescent="0.2">
      <c r="A1701" s="86">
        <v>300</v>
      </c>
      <c r="B1701" s="601" t="s">
        <v>188</v>
      </c>
      <c r="C1701" s="602"/>
      <c r="D1701" s="6">
        <f>D1179</f>
        <v>8544997.7899999991</v>
      </c>
      <c r="E1701" s="6">
        <f>E1179</f>
        <v>7786993.0300000003</v>
      </c>
      <c r="F1701" s="6">
        <f>F1179</f>
        <v>7455016.6900000004</v>
      </c>
      <c r="G1701" s="91">
        <f t="shared" si="94"/>
        <v>0.87244220223490554</v>
      </c>
      <c r="H1701" s="92">
        <f t="shared" si="95"/>
        <v>0.95736783907202239</v>
      </c>
      <c r="I1701" s="92">
        <f>F1701/F1702</f>
        <v>0.86073218114322769</v>
      </c>
    </row>
    <row r="1702" spans="1:9" s="17" customFormat="1" ht="16.5" customHeight="1" x14ac:dyDescent="0.2">
      <c r="A1702" s="168"/>
      <c r="B1702" s="625" t="s">
        <v>83</v>
      </c>
      <c r="C1702" s="626"/>
      <c r="D1702" s="509">
        <f>D1697+D1698+D1699+D1700+D1701</f>
        <v>9638210.2599999998</v>
      </c>
      <c r="E1702" s="509">
        <f>E1697+E1698+E1699+E1700+E1701</f>
        <v>8994197.3300000001</v>
      </c>
      <c r="F1702" s="509">
        <f>F1697+F1698+F1699+F1700+F1701</f>
        <v>8661250.1000000015</v>
      </c>
      <c r="G1702" s="200">
        <f t="shared" si="94"/>
        <v>0.89863676619978627</v>
      </c>
      <c r="H1702" s="155">
        <f t="shared" si="95"/>
        <v>0.96298199630449977</v>
      </c>
      <c r="I1702" s="206">
        <f>SUM(I1697:I1701)</f>
        <v>0.99999999999999989</v>
      </c>
    </row>
    <row r="1703" spans="1:9" s="17" customFormat="1" ht="16.5" customHeight="1" x14ac:dyDescent="0.2">
      <c r="A1703" s="201"/>
      <c r="B1703" s="202"/>
      <c r="C1703" s="202"/>
      <c r="D1703" s="319"/>
      <c r="E1703" s="319"/>
      <c r="F1703" s="319"/>
      <c r="G1703" s="204"/>
      <c r="H1703" s="223"/>
      <c r="I1703" s="441"/>
    </row>
    <row r="1704" spans="1:9" s="17" customFormat="1" ht="16.5" customHeight="1" x14ac:dyDescent="0.2">
      <c r="A1704" s="264"/>
      <c r="B1704" s="627" t="s">
        <v>1079</v>
      </c>
      <c r="C1704" s="627"/>
      <c r="D1704" s="627"/>
      <c r="E1704" s="627"/>
      <c r="F1704" s="627"/>
      <c r="G1704" s="627"/>
      <c r="H1704" s="627"/>
      <c r="I1704" s="627"/>
    </row>
    <row r="1705" spans="1:9" s="17" customFormat="1" ht="18" customHeight="1" x14ac:dyDescent="0.2">
      <c r="A1705" s="627" t="s">
        <v>1080</v>
      </c>
      <c r="B1705" s="627"/>
      <c r="C1705" s="627"/>
      <c r="D1705" s="627"/>
      <c r="E1705" s="627"/>
      <c r="F1705" s="627"/>
      <c r="G1705" s="627"/>
      <c r="H1705" s="627"/>
      <c r="I1705" s="627"/>
    </row>
    <row r="1706" spans="1:9" s="17" customFormat="1" ht="17.25" customHeight="1" x14ac:dyDescent="0.2">
      <c r="A1706" s="156" t="s">
        <v>810</v>
      </c>
      <c r="B1706" s="156"/>
      <c r="C1706" s="156"/>
      <c r="D1706" s="156"/>
      <c r="E1706" s="156"/>
      <c r="F1706" s="156"/>
      <c r="G1706" s="156"/>
      <c r="H1706" s="156"/>
      <c r="I1706" s="156"/>
    </row>
    <row r="1707" spans="1:9" s="17" customFormat="1" ht="16.5" customHeight="1" x14ac:dyDescent="0.2">
      <c r="A1707" s="621" t="s">
        <v>811</v>
      </c>
      <c r="B1707" s="621"/>
      <c r="C1707" s="621"/>
      <c r="D1707" s="621"/>
      <c r="E1707" s="621"/>
      <c r="F1707" s="621"/>
      <c r="G1707" s="621"/>
      <c r="H1707" s="621"/>
      <c r="I1707" s="621"/>
    </row>
    <row r="1708" spans="1:9" s="17" customFormat="1" ht="16.5" customHeight="1" x14ac:dyDescent="0.2">
      <c r="A1708" s="156" t="s">
        <v>812</v>
      </c>
      <c r="B1708" s="156"/>
      <c r="C1708" s="156"/>
      <c r="D1708" s="156"/>
      <c r="E1708" s="156"/>
      <c r="F1708" s="156"/>
      <c r="G1708" s="156"/>
      <c r="H1708" s="156"/>
      <c r="I1708" s="156"/>
    </row>
    <row r="1709" spans="1:9" s="17" customFormat="1" ht="16.5" customHeight="1" x14ac:dyDescent="0.2">
      <c r="A1709" s="156" t="s">
        <v>1081</v>
      </c>
      <c r="B1709" s="156"/>
      <c r="C1709" s="156"/>
      <c r="D1709" s="156"/>
      <c r="E1709" s="156"/>
      <c r="F1709" s="156"/>
      <c r="G1709" s="156"/>
      <c r="H1709" s="156"/>
      <c r="I1709" s="156"/>
    </row>
    <row r="1710" spans="1:9" s="17" customFormat="1" ht="16.5" customHeight="1" x14ac:dyDescent="0.2">
      <c r="A1710" s="621" t="s">
        <v>813</v>
      </c>
      <c r="B1710" s="621"/>
      <c r="C1710" s="621"/>
      <c r="D1710" s="621"/>
      <c r="E1710" s="621"/>
      <c r="F1710" s="621"/>
      <c r="G1710" s="621"/>
      <c r="H1710" s="621"/>
      <c r="I1710" s="621"/>
    </row>
    <row r="1711" spans="1:9" s="17" customFormat="1" ht="16.5" customHeight="1" x14ac:dyDescent="0.2">
      <c r="A1711" s="156" t="s">
        <v>814</v>
      </c>
      <c r="B1711" s="156"/>
      <c r="C1711" s="156"/>
      <c r="D1711" s="156"/>
      <c r="E1711" s="156"/>
      <c r="F1711" s="156"/>
      <c r="G1711" s="156"/>
      <c r="H1711" s="156"/>
      <c r="I1711" s="156"/>
    </row>
    <row r="1712" spans="1:9" s="17" customFormat="1" ht="16.5" customHeight="1" x14ac:dyDescent="0.2">
      <c r="A1712" s="621" t="s">
        <v>390</v>
      </c>
      <c r="B1712" s="621"/>
      <c r="C1712" s="621"/>
      <c r="D1712" s="621"/>
      <c r="E1712" s="621"/>
      <c r="F1712" s="621"/>
      <c r="G1712" s="621"/>
      <c r="H1712" s="621"/>
      <c r="I1712" s="621"/>
    </row>
    <row r="1713" spans="1:9" s="17" customFormat="1" ht="16.5" customHeight="1" x14ac:dyDescent="0.2">
      <c r="A1713" s="156" t="s">
        <v>1082</v>
      </c>
      <c r="B1713" s="156"/>
      <c r="C1713" s="156"/>
      <c r="D1713" s="156"/>
      <c r="E1713" s="156"/>
      <c r="F1713" s="156"/>
      <c r="G1713" s="156"/>
      <c r="H1713" s="156"/>
      <c r="I1713" s="156"/>
    </row>
    <row r="1714" spans="1:9" s="17" customFormat="1" ht="16.5" customHeight="1" x14ac:dyDescent="0.2">
      <c r="A1714" s="621" t="s">
        <v>451</v>
      </c>
      <c r="B1714" s="621"/>
      <c r="C1714" s="621"/>
      <c r="D1714" s="621"/>
      <c r="E1714" s="621"/>
      <c r="F1714" s="621"/>
      <c r="G1714" s="621"/>
      <c r="H1714" s="621"/>
      <c r="I1714" s="621"/>
    </row>
    <row r="1715" spans="1:9" s="17" customFormat="1" ht="16.5" customHeight="1" x14ac:dyDescent="0.2">
      <c r="A1715" s="156" t="s">
        <v>1083</v>
      </c>
      <c r="B1715" s="156"/>
      <c r="C1715" s="156"/>
      <c r="D1715" s="156"/>
      <c r="E1715" s="156"/>
      <c r="F1715" s="156"/>
      <c r="G1715" s="156"/>
      <c r="H1715" s="156"/>
      <c r="I1715" s="156"/>
    </row>
    <row r="1716" spans="1:9" s="17" customFormat="1" ht="16.5" customHeight="1" x14ac:dyDescent="0.2">
      <c r="A1716" s="156" t="s">
        <v>1084</v>
      </c>
      <c r="B1716" s="156"/>
      <c r="C1716" s="156"/>
      <c r="D1716" s="156"/>
      <c r="E1716" s="156"/>
      <c r="F1716" s="156"/>
      <c r="G1716" s="156"/>
      <c r="H1716" s="156"/>
      <c r="I1716" s="156"/>
    </row>
    <row r="1717" spans="1:9" s="17" customFormat="1" ht="16.5" customHeight="1" x14ac:dyDescent="0.2">
      <c r="A1717" s="621"/>
      <c r="B1717" s="621"/>
      <c r="C1717" s="621"/>
      <c r="D1717" s="621"/>
      <c r="E1717" s="621"/>
      <c r="F1717" s="621"/>
      <c r="G1717" s="621"/>
      <c r="H1717" s="621"/>
      <c r="I1717" s="621"/>
    </row>
    <row r="1718" spans="1:9" s="17" customFormat="1" ht="16.5" customHeight="1" x14ac:dyDescent="0.2">
      <c r="A1718" s="145"/>
      <c r="B1718" s="145"/>
      <c r="C1718" s="145"/>
      <c r="D1718" s="145"/>
      <c r="E1718" s="145"/>
      <c r="F1718" s="145"/>
      <c r="G1718" s="145"/>
      <c r="H1718" s="145"/>
      <c r="I1718" s="145"/>
    </row>
    <row r="1719" spans="1:9" s="17" customFormat="1" ht="16.5" customHeight="1" x14ac:dyDescent="0.2">
      <c r="A1719" s="145"/>
      <c r="B1719" s="145"/>
      <c r="C1719" s="145"/>
      <c r="D1719" s="145"/>
      <c r="E1719" s="145"/>
      <c r="F1719" s="145"/>
      <c r="G1719" s="145"/>
      <c r="H1719" s="145"/>
      <c r="I1719" s="257">
        <v>30</v>
      </c>
    </row>
    <row r="1720" spans="1:9" s="17" customFormat="1" ht="16.5" customHeight="1" x14ac:dyDescent="0.2">
      <c r="A1720" s="145"/>
      <c r="B1720" s="145"/>
      <c r="C1720" s="145"/>
      <c r="D1720" s="145"/>
      <c r="E1720" s="145"/>
      <c r="F1720" s="145"/>
      <c r="G1720" s="145"/>
      <c r="H1720" s="145"/>
      <c r="I1720" s="257"/>
    </row>
    <row r="1721" spans="1:9" s="17" customFormat="1" ht="16.5" customHeight="1" x14ac:dyDescent="0.2">
      <c r="A1721" s="145"/>
      <c r="B1721" s="145"/>
      <c r="C1721" s="145"/>
      <c r="D1721" s="145"/>
      <c r="E1721" s="145"/>
      <c r="F1721" s="145"/>
      <c r="G1721" s="145"/>
      <c r="H1721" s="145"/>
      <c r="I1721" s="257"/>
    </row>
    <row r="1722" spans="1:9" s="17" customFormat="1" ht="16.5" customHeight="1" x14ac:dyDescent="0.2">
      <c r="A1722" s="145"/>
      <c r="B1722" s="145"/>
      <c r="C1722" s="145"/>
      <c r="D1722" s="145"/>
      <c r="E1722" s="145"/>
      <c r="F1722" s="145"/>
      <c r="G1722" s="145"/>
      <c r="H1722" s="145"/>
      <c r="I1722" s="257"/>
    </row>
    <row r="1723" spans="1:9" s="17" customFormat="1" ht="16.5" customHeight="1" x14ac:dyDescent="0.2">
      <c r="A1723" s="145"/>
      <c r="B1723" s="145"/>
      <c r="C1723" s="145"/>
      <c r="D1723" s="145"/>
      <c r="E1723" s="145"/>
      <c r="F1723" s="145"/>
      <c r="G1723" s="145"/>
      <c r="H1723" s="145"/>
      <c r="I1723" s="257"/>
    </row>
    <row r="1724" spans="1:9" s="17" customFormat="1" ht="16.5" customHeight="1" x14ac:dyDescent="0.2">
      <c r="A1724" s="145"/>
      <c r="B1724" s="145"/>
      <c r="C1724" s="145"/>
      <c r="D1724" s="145"/>
      <c r="E1724" s="145"/>
      <c r="F1724" s="145"/>
      <c r="G1724" s="145"/>
      <c r="H1724" s="145"/>
      <c r="I1724" s="257"/>
    </row>
    <row r="1725" spans="1:9" s="17" customFormat="1" ht="16.5" customHeight="1" x14ac:dyDescent="0.2">
      <c r="A1725" s="635" t="s">
        <v>425</v>
      </c>
      <c r="B1725" s="635"/>
      <c r="C1725" s="635"/>
      <c r="D1725" s="635"/>
      <c r="E1725" s="635"/>
      <c r="F1725" s="279"/>
      <c r="G1725" s="279"/>
      <c r="H1725" s="297"/>
      <c r="I1725" s="280"/>
    </row>
    <row r="1726" spans="1:9" s="17" customFormat="1" ht="16.5" customHeight="1" x14ac:dyDescent="0.2">
      <c r="A1726" s="24"/>
      <c r="B1726" s="24"/>
      <c r="C1726" s="24"/>
      <c r="D1726" s="24"/>
      <c r="E1726" s="24"/>
      <c r="F1726" s="279"/>
      <c r="G1726" s="279"/>
      <c r="H1726" s="297"/>
      <c r="I1726" s="280"/>
    </row>
    <row r="1727" spans="1:9" s="17" customFormat="1" ht="16.5" customHeight="1" x14ac:dyDescent="0.2">
      <c r="A1727" s="21"/>
      <c r="B1727" s="603" t="s">
        <v>815</v>
      </c>
      <c r="C1727" s="603"/>
      <c r="D1727" s="603"/>
      <c r="E1727" s="603"/>
      <c r="F1727" s="603"/>
      <c r="G1727" s="603"/>
      <c r="H1727" s="603"/>
      <c r="I1727" s="603"/>
    </row>
    <row r="1728" spans="1:9" s="17" customFormat="1" ht="19.5" customHeight="1" x14ac:dyDescent="0.2">
      <c r="A1728" s="21"/>
      <c r="B1728" s="21"/>
      <c r="C1728" s="21"/>
      <c r="D1728" s="21"/>
      <c r="E1728" s="21"/>
      <c r="F1728" s="21"/>
      <c r="G1728" s="21"/>
      <c r="H1728" s="21"/>
      <c r="I1728" s="21"/>
    </row>
    <row r="1729" spans="1:9" s="17" customFormat="1" ht="16.5" customHeight="1" x14ac:dyDescent="0.2">
      <c r="A1729" s="759" t="s">
        <v>482</v>
      </c>
      <c r="B1729" s="759"/>
      <c r="C1729" s="759"/>
      <c r="D1729" s="759"/>
      <c r="E1729" s="759"/>
      <c r="F1729" s="759"/>
      <c r="G1729" s="759"/>
      <c r="H1729" s="759"/>
      <c r="I1729" s="759"/>
    </row>
    <row r="1730" spans="1:9" s="17" customFormat="1" ht="16.5" customHeight="1" x14ac:dyDescent="0.2">
      <c r="A1730" s="145"/>
      <c r="B1730" s="145"/>
      <c r="C1730" s="145"/>
      <c r="D1730" s="145"/>
      <c r="E1730" s="605" t="s">
        <v>84</v>
      </c>
      <c r="F1730" s="145"/>
      <c r="G1730" s="145"/>
      <c r="H1730" s="145"/>
      <c r="I1730" s="145"/>
    </row>
    <row r="1731" spans="1:9" s="17" customFormat="1" ht="17.25" customHeight="1" x14ac:dyDescent="0.2">
      <c r="A1731" s="224"/>
      <c r="B1731" s="247"/>
      <c r="C1731" s="15"/>
      <c r="D1731" s="156"/>
      <c r="E1731" s="605"/>
      <c r="F1731" s="156"/>
      <c r="G1731" s="224"/>
      <c r="H1731" s="156"/>
      <c r="I1731" s="156"/>
    </row>
    <row r="1732" spans="1:9" s="17" customFormat="1" ht="16.5" customHeight="1" x14ac:dyDescent="0.2">
      <c r="A1732" s="192" t="s">
        <v>48</v>
      </c>
      <c r="B1732" s="615" t="s">
        <v>49</v>
      </c>
      <c r="C1732" s="616"/>
      <c r="D1732" s="411" t="s">
        <v>85</v>
      </c>
      <c r="E1732" s="409" t="s">
        <v>152</v>
      </c>
      <c r="F1732" s="42" t="s">
        <v>86</v>
      </c>
      <c r="G1732" s="619" t="s">
        <v>52</v>
      </c>
      <c r="H1732" s="620"/>
      <c r="I1732" s="613" t="s">
        <v>53</v>
      </c>
    </row>
    <row r="1733" spans="1:9" s="17" customFormat="1" ht="15" customHeight="1" x14ac:dyDescent="0.2">
      <c r="A1733" s="193" t="s">
        <v>87</v>
      </c>
      <c r="B1733" s="617"/>
      <c r="C1733" s="618"/>
      <c r="D1733" s="412" t="s">
        <v>537</v>
      </c>
      <c r="E1733" s="44" t="s">
        <v>571</v>
      </c>
      <c r="F1733" s="44" t="s">
        <v>571</v>
      </c>
      <c r="G1733" s="29" t="s">
        <v>55</v>
      </c>
      <c r="H1733" s="29" t="s">
        <v>56</v>
      </c>
      <c r="I1733" s="614"/>
    </row>
    <row r="1734" spans="1:9" s="17" customFormat="1" ht="15" customHeight="1" x14ac:dyDescent="0.2">
      <c r="A1734" s="164">
        <v>1</v>
      </c>
      <c r="B1734" s="717">
        <v>2</v>
      </c>
      <c r="C1734" s="718"/>
      <c r="D1734" s="163">
        <v>3</v>
      </c>
      <c r="E1734" s="147">
        <v>4</v>
      </c>
      <c r="F1734" s="147">
        <v>5</v>
      </c>
      <c r="G1734" s="147">
        <v>6</v>
      </c>
      <c r="H1734" s="147">
        <v>7</v>
      </c>
      <c r="I1734" s="164">
        <v>8</v>
      </c>
    </row>
    <row r="1735" spans="1:9" s="17" customFormat="1" ht="16.5" customHeight="1" x14ac:dyDescent="0.2">
      <c r="A1735" s="86">
        <v>111</v>
      </c>
      <c r="B1735" s="601" t="s">
        <v>184</v>
      </c>
      <c r="C1735" s="602"/>
      <c r="D1735" s="6">
        <f>D625</f>
        <v>334329.51</v>
      </c>
      <c r="E1735" s="6">
        <f>E625</f>
        <v>350599.08</v>
      </c>
      <c r="F1735" s="6">
        <f>F625</f>
        <v>350599.08</v>
      </c>
      <c r="G1735" s="91">
        <f t="shared" ref="G1735:G1740" si="96">F1735/D1735</f>
        <v>1.048663278332804</v>
      </c>
      <c r="H1735" s="92">
        <f t="shared" ref="H1735:H1740" si="97">F1735/E1735</f>
        <v>1</v>
      </c>
      <c r="I1735" s="92">
        <f>F1735/F1740</f>
        <v>0.66643624563505455</v>
      </c>
    </row>
    <row r="1736" spans="1:9" s="17" customFormat="1" ht="16.5" customHeight="1" x14ac:dyDescent="0.2">
      <c r="A1736" s="86">
        <v>130</v>
      </c>
      <c r="B1736" s="601" t="s">
        <v>185</v>
      </c>
      <c r="C1736" s="602"/>
      <c r="D1736" s="6">
        <f>D846</f>
        <v>45495</v>
      </c>
      <c r="E1736" s="6">
        <f>E846</f>
        <v>46500</v>
      </c>
      <c r="F1736" s="6">
        <f>F846</f>
        <v>46291.02</v>
      </c>
      <c r="G1736" s="91">
        <f t="shared" si="96"/>
        <v>1.017496867787669</v>
      </c>
      <c r="H1736" s="92">
        <f t="shared" si="97"/>
        <v>0.9955058064516128</v>
      </c>
      <c r="I1736" s="92">
        <f>F1736/F1740</f>
        <v>8.7992283309520442E-2</v>
      </c>
    </row>
    <row r="1737" spans="1:9" s="17" customFormat="1" ht="16.5" customHeight="1" x14ac:dyDescent="0.2">
      <c r="A1737" s="86">
        <v>132</v>
      </c>
      <c r="B1737" s="601" t="s">
        <v>186</v>
      </c>
      <c r="C1737" s="602"/>
      <c r="D1737" s="6">
        <f>D958</f>
        <v>34051.1</v>
      </c>
      <c r="E1737" s="6">
        <f>E958</f>
        <v>34500</v>
      </c>
      <c r="F1737" s="6">
        <f>F958</f>
        <v>34135.35</v>
      </c>
      <c r="G1737" s="91">
        <f t="shared" si="96"/>
        <v>1.0024742225654972</v>
      </c>
      <c r="H1737" s="92">
        <f t="shared" si="97"/>
        <v>0.98943043478260861</v>
      </c>
      <c r="I1737" s="92">
        <f>F1737/F1740</f>
        <v>6.4886178530298932E-2</v>
      </c>
    </row>
    <row r="1738" spans="1:9" s="17" customFormat="1" ht="16.5" customHeight="1" x14ac:dyDescent="0.2">
      <c r="A1738" s="86">
        <v>200</v>
      </c>
      <c r="B1738" s="601" t="s">
        <v>187</v>
      </c>
      <c r="C1738" s="602"/>
      <c r="D1738" s="6">
        <f>D1071</f>
        <v>0</v>
      </c>
      <c r="E1738" s="6">
        <f>E1071</f>
        <v>0</v>
      </c>
      <c r="F1738" s="6">
        <f>F1071</f>
        <v>0</v>
      </c>
      <c r="G1738" s="91" t="e">
        <f t="shared" si="96"/>
        <v>#DIV/0!</v>
      </c>
      <c r="H1738" s="92" t="e">
        <f t="shared" si="97"/>
        <v>#DIV/0!</v>
      </c>
      <c r="I1738" s="92">
        <f>F1738/F1740</f>
        <v>0</v>
      </c>
    </row>
    <row r="1739" spans="1:9" s="17" customFormat="1" ht="16.5" customHeight="1" x14ac:dyDescent="0.2">
      <c r="A1739" s="86">
        <v>300</v>
      </c>
      <c r="B1739" s="601" t="s">
        <v>188</v>
      </c>
      <c r="C1739" s="602"/>
      <c r="D1739" s="6">
        <f>D1180</f>
        <v>30935</v>
      </c>
      <c r="E1739" s="6">
        <f>E1180</f>
        <v>100000</v>
      </c>
      <c r="F1739" s="6">
        <f>F1180</f>
        <v>95055</v>
      </c>
      <c r="G1739" s="91">
        <f t="shared" si="96"/>
        <v>3.0727331501535478</v>
      </c>
      <c r="H1739" s="92">
        <f t="shared" si="97"/>
        <v>0.95055000000000001</v>
      </c>
      <c r="I1739" s="92">
        <f>F1739/F1740</f>
        <v>0.18068529252512616</v>
      </c>
    </row>
    <row r="1740" spans="1:9" s="17" customFormat="1" ht="16.5" customHeight="1" x14ac:dyDescent="0.2">
      <c r="A1740" s="168"/>
      <c r="B1740" s="625" t="s">
        <v>83</v>
      </c>
      <c r="C1740" s="626"/>
      <c r="D1740" s="414">
        <f>D1735+D1736+D1737+D1738+D1739</f>
        <v>444810.61</v>
      </c>
      <c r="E1740" s="414">
        <f t="shared" ref="E1740" si="98">E1735+E1736+E1737+E1738+E1739</f>
        <v>531599.08000000007</v>
      </c>
      <c r="F1740" s="414">
        <f>F1735+F1736+F1737+F1738+F1739</f>
        <v>526080.44999999995</v>
      </c>
      <c r="G1740" s="200">
        <f t="shared" si="96"/>
        <v>1.1827066130459432</v>
      </c>
      <c r="H1740" s="155">
        <f t="shared" si="97"/>
        <v>0.98961881198139001</v>
      </c>
      <c r="I1740" s="206">
        <f>SUM(I1735:I1739)</f>
        <v>1</v>
      </c>
    </row>
    <row r="1741" spans="1:9" s="17" customFormat="1" ht="16.5" customHeight="1" x14ac:dyDescent="0.2">
      <c r="A1741" s="201"/>
      <c r="B1741" s="259"/>
      <c r="C1741" s="325"/>
      <c r="D1741" s="325"/>
      <c r="E1741" s="187"/>
      <c r="F1741" s="188"/>
      <c r="G1741" s="189"/>
      <c r="H1741" s="294"/>
      <c r="I1741" s="280"/>
    </row>
    <row r="1742" spans="1:9" s="17" customFormat="1" ht="16.5" customHeight="1" x14ac:dyDescent="0.2">
      <c r="A1742" s="264"/>
      <c r="B1742" s="627" t="s">
        <v>816</v>
      </c>
      <c r="C1742" s="627"/>
      <c r="D1742" s="627"/>
      <c r="E1742" s="627"/>
      <c r="F1742" s="627"/>
      <c r="G1742" s="627"/>
      <c r="H1742" s="627"/>
      <c r="I1742" s="627"/>
    </row>
    <row r="1743" spans="1:9" s="17" customFormat="1" ht="16.5" customHeight="1" x14ac:dyDescent="0.2">
      <c r="A1743" s="627" t="s">
        <v>817</v>
      </c>
      <c r="B1743" s="627"/>
      <c r="C1743" s="627"/>
      <c r="D1743" s="627"/>
      <c r="E1743" s="627"/>
      <c r="F1743" s="627"/>
      <c r="G1743" s="627"/>
      <c r="H1743" s="627"/>
      <c r="I1743" s="627"/>
    </row>
    <row r="1744" spans="1:9" s="17" customFormat="1" ht="12" customHeight="1" x14ac:dyDescent="0.2">
      <c r="A1744" s="627" t="s">
        <v>818</v>
      </c>
      <c r="B1744" s="627"/>
      <c r="C1744" s="627"/>
      <c r="D1744" s="627"/>
      <c r="E1744" s="627"/>
      <c r="F1744" s="627"/>
      <c r="G1744" s="627"/>
      <c r="H1744" s="627"/>
      <c r="I1744" s="627"/>
    </row>
    <row r="1745" spans="1:9" s="17" customFormat="1" ht="16.5" customHeight="1" x14ac:dyDescent="0.2">
      <c r="A1745" s="621" t="s">
        <v>819</v>
      </c>
      <c r="B1745" s="621"/>
      <c r="C1745" s="621"/>
      <c r="D1745" s="621"/>
      <c r="E1745" s="621"/>
      <c r="F1745" s="621"/>
      <c r="G1745" s="621"/>
      <c r="H1745" s="621"/>
      <c r="I1745" s="621"/>
    </row>
    <row r="1746" spans="1:9" s="17" customFormat="1" ht="16.5" customHeight="1" x14ac:dyDescent="0.2">
      <c r="A1746" s="732" t="s">
        <v>820</v>
      </c>
      <c r="B1746" s="732"/>
      <c r="C1746" s="732"/>
      <c r="D1746" s="732"/>
      <c r="E1746" s="732"/>
      <c r="F1746" s="732"/>
      <c r="G1746" s="732"/>
      <c r="H1746" s="732"/>
      <c r="I1746" s="732"/>
    </row>
    <row r="1747" spans="1:9" s="17" customFormat="1" ht="16.5" customHeight="1" x14ac:dyDescent="0.2">
      <c r="A1747" s="621" t="s">
        <v>821</v>
      </c>
      <c r="B1747" s="621"/>
      <c r="C1747" s="621"/>
      <c r="D1747" s="621"/>
      <c r="E1747" s="621"/>
      <c r="F1747" s="621"/>
      <c r="G1747" s="621"/>
      <c r="H1747" s="621"/>
      <c r="I1747" s="621"/>
    </row>
    <row r="1748" spans="1:9" s="17" customFormat="1" ht="16.5" customHeight="1" x14ac:dyDescent="0.2">
      <c r="A1748" s="621" t="s">
        <v>822</v>
      </c>
      <c r="B1748" s="621"/>
      <c r="C1748" s="621"/>
      <c r="D1748" s="621"/>
      <c r="E1748" s="621"/>
      <c r="F1748" s="621"/>
      <c r="G1748" s="621"/>
      <c r="H1748" s="621"/>
      <c r="I1748" s="621"/>
    </row>
    <row r="1749" spans="1:9" s="17" customFormat="1" ht="16.5" customHeight="1" x14ac:dyDescent="0.2">
      <c r="A1749" s="621" t="s">
        <v>823</v>
      </c>
      <c r="B1749" s="621"/>
      <c r="C1749" s="621"/>
      <c r="D1749" s="621"/>
      <c r="E1749" s="621"/>
      <c r="F1749" s="621"/>
      <c r="G1749" s="621"/>
      <c r="H1749" s="621"/>
      <c r="I1749" s="621"/>
    </row>
    <row r="1750" spans="1:9" s="17" customFormat="1" ht="16.5" customHeight="1" x14ac:dyDescent="0.2">
      <c r="A1750" s="621" t="s">
        <v>824</v>
      </c>
      <c r="B1750" s="621"/>
      <c r="C1750" s="621"/>
      <c r="D1750" s="621"/>
      <c r="E1750" s="621"/>
      <c r="F1750" s="621"/>
      <c r="G1750" s="621"/>
      <c r="H1750" s="621"/>
      <c r="I1750" s="621"/>
    </row>
    <row r="1751" spans="1:9" s="17" customFormat="1" ht="16.5" customHeight="1" x14ac:dyDescent="0.2">
      <c r="A1751" s="621" t="s">
        <v>825</v>
      </c>
      <c r="B1751" s="621"/>
      <c r="C1751" s="621"/>
      <c r="D1751" s="621"/>
      <c r="E1751" s="621"/>
      <c r="F1751" s="621"/>
      <c r="G1751" s="621"/>
      <c r="H1751" s="621"/>
      <c r="I1751" s="621"/>
    </row>
    <row r="1752" spans="1:9" s="17" customFormat="1" ht="16.5" customHeight="1" x14ac:dyDescent="0.2">
      <c r="A1752" s="621" t="s">
        <v>826</v>
      </c>
      <c r="B1752" s="621"/>
      <c r="C1752" s="621"/>
      <c r="D1752" s="621"/>
      <c r="E1752" s="621"/>
      <c r="F1752" s="621"/>
      <c r="G1752" s="621"/>
      <c r="H1752" s="621"/>
      <c r="I1752" s="621"/>
    </row>
    <row r="1753" spans="1:9" s="17" customFormat="1" ht="16.5" customHeight="1" x14ac:dyDescent="0.2">
      <c r="A1753" s="145"/>
      <c r="B1753" s="145"/>
      <c r="C1753" s="145"/>
      <c r="D1753" s="145"/>
      <c r="E1753" s="145"/>
      <c r="F1753" s="145"/>
      <c r="G1753" s="145"/>
      <c r="H1753" s="145"/>
      <c r="I1753" s="145"/>
    </row>
    <row r="1754" spans="1:9" s="17" customFormat="1" ht="16.5" customHeight="1" x14ac:dyDescent="0.2">
      <c r="A1754" s="145"/>
      <c r="B1754" s="145"/>
      <c r="C1754" s="145"/>
      <c r="D1754" s="145"/>
      <c r="E1754" s="145"/>
      <c r="F1754" s="145"/>
      <c r="G1754" s="145"/>
      <c r="H1754" s="145"/>
      <c r="I1754" s="145"/>
    </row>
    <row r="1755" spans="1:9" s="17" customFormat="1" ht="16.5" customHeight="1" x14ac:dyDescent="0.2">
      <c r="A1755" s="145"/>
      <c r="B1755" s="145"/>
      <c r="C1755" s="145"/>
      <c r="D1755" s="145"/>
      <c r="E1755" s="145"/>
      <c r="F1755" s="145"/>
      <c r="G1755" s="145"/>
      <c r="H1755" s="145"/>
      <c r="I1755" s="145"/>
    </row>
    <row r="1756" spans="1:9" s="17" customFormat="1" ht="16.5" customHeight="1" x14ac:dyDescent="0.2">
      <c r="A1756" s="145"/>
      <c r="B1756" s="145"/>
      <c r="C1756" s="145"/>
      <c r="D1756" s="145"/>
      <c r="E1756" s="145"/>
      <c r="F1756" s="145"/>
      <c r="G1756" s="145"/>
      <c r="H1756" s="145"/>
      <c r="I1756" s="145"/>
    </row>
    <row r="1757" spans="1:9" s="17" customFormat="1" ht="16.5" customHeight="1" x14ac:dyDescent="0.2">
      <c r="A1757" s="145"/>
      <c r="B1757" s="145"/>
      <c r="C1757" s="145"/>
      <c r="D1757" s="145"/>
      <c r="E1757" s="145"/>
      <c r="F1757" s="145"/>
      <c r="G1757" s="145"/>
      <c r="H1757" s="145"/>
      <c r="I1757" s="145"/>
    </row>
    <row r="1758" spans="1:9" s="17" customFormat="1" ht="16.5" customHeight="1" x14ac:dyDescent="0.2">
      <c r="A1758" s="145"/>
      <c r="B1758" s="145"/>
      <c r="C1758" s="145"/>
      <c r="D1758" s="145"/>
      <c r="E1758" s="145"/>
      <c r="F1758" s="145"/>
      <c r="G1758" s="145"/>
      <c r="H1758" s="145"/>
      <c r="I1758" s="145"/>
    </row>
    <row r="1759" spans="1:9" s="17" customFormat="1" ht="16.5" customHeight="1" x14ac:dyDescent="0.2">
      <c r="A1759" s="145"/>
      <c r="B1759" s="145"/>
      <c r="C1759" s="145"/>
      <c r="D1759" s="145"/>
      <c r="E1759" s="145"/>
      <c r="F1759" s="145"/>
      <c r="G1759" s="145"/>
      <c r="H1759" s="145"/>
      <c r="I1759" s="145"/>
    </row>
    <row r="1760" spans="1:9" s="17" customFormat="1" ht="16.5" customHeight="1" x14ac:dyDescent="0.2">
      <c r="A1760" s="145"/>
      <c r="B1760" s="145"/>
      <c r="C1760" s="145"/>
      <c r="D1760" s="145"/>
      <c r="E1760" s="145"/>
      <c r="F1760" s="145"/>
      <c r="G1760" s="145"/>
      <c r="H1760" s="145"/>
      <c r="I1760" s="145"/>
    </row>
    <row r="1761" spans="1:9" s="17" customFormat="1" ht="16.5" customHeight="1" x14ac:dyDescent="0.2">
      <c r="A1761" s="145"/>
      <c r="B1761" s="145"/>
      <c r="C1761" s="145"/>
      <c r="D1761" s="145"/>
      <c r="E1761" s="145"/>
      <c r="F1761" s="145"/>
      <c r="G1761" s="145"/>
      <c r="H1761" s="145"/>
      <c r="I1761" s="145"/>
    </row>
    <row r="1762" spans="1:9" s="17" customFormat="1" ht="16.5" customHeight="1" x14ac:dyDescent="0.2">
      <c r="A1762" s="145"/>
      <c r="B1762" s="145"/>
      <c r="C1762" s="145"/>
      <c r="D1762" s="145"/>
      <c r="E1762" s="145"/>
      <c r="F1762" s="145"/>
      <c r="G1762" s="145"/>
      <c r="H1762" s="145"/>
      <c r="I1762" s="145"/>
    </row>
    <row r="1763" spans="1:9" s="17" customFormat="1" ht="16.5" customHeight="1" x14ac:dyDescent="0.2">
      <c r="A1763" s="145"/>
      <c r="B1763" s="145"/>
      <c r="C1763" s="145"/>
      <c r="D1763" s="145"/>
      <c r="E1763" s="145"/>
      <c r="F1763" s="145"/>
      <c r="G1763" s="145"/>
      <c r="H1763" s="145"/>
      <c r="I1763" s="145"/>
    </row>
    <row r="1764" spans="1:9" s="17" customFormat="1" ht="16.5" customHeight="1" x14ac:dyDescent="0.2">
      <c r="A1764" s="145"/>
      <c r="B1764" s="145"/>
      <c r="C1764" s="145"/>
      <c r="D1764" s="145"/>
      <c r="E1764" s="145"/>
      <c r="F1764" s="145"/>
      <c r="G1764" s="145"/>
      <c r="H1764" s="145"/>
      <c r="I1764" s="145"/>
    </row>
    <row r="1765" spans="1:9" s="17" customFormat="1" ht="16.5" customHeight="1" x14ac:dyDescent="0.2">
      <c r="A1765" s="145"/>
      <c r="B1765" s="145"/>
      <c r="C1765" s="145"/>
      <c r="D1765" s="145"/>
      <c r="E1765" s="145"/>
      <c r="F1765" s="145"/>
      <c r="G1765" s="145"/>
      <c r="H1765" s="145"/>
      <c r="I1765" s="145"/>
    </row>
    <row r="1766" spans="1:9" s="17" customFormat="1" ht="16.5" customHeight="1" x14ac:dyDescent="0.2">
      <c r="A1766" s="145"/>
      <c r="B1766" s="145"/>
      <c r="C1766" s="145"/>
      <c r="D1766" s="145"/>
      <c r="E1766" s="145"/>
      <c r="F1766" s="145"/>
      <c r="G1766" s="145"/>
      <c r="H1766" s="145"/>
      <c r="I1766" s="145"/>
    </row>
    <row r="1767" spans="1:9" s="17" customFormat="1" ht="16.5" customHeight="1" x14ac:dyDescent="0.2">
      <c r="A1767" s="145"/>
      <c r="B1767" s="145"/>
      <c r="C1767" s="145"/>
      <c r="D1767" s="145"/>
      <c r="E1767" s="145"/>
      <c r="F1767" s="145"/>
      <c r="G1767" s="145"/>
      <c r="H1767" s="145"/>
      <c r="I1767" s="145"/>
    </row>
    <row r="1768" spans="1:9" s="17" customFormat="1" ht="16.5" customHeight="1" x14ac:dyDescent="0.2">
      <c r="A1768" s="145"/>
      <c r="B1768" s="145"/>
      <c r="C1768" s="145"/>
      <c r="D1768" s="145"/>
      <c r="E1768" s="145"/>
      <c r="F1768" s="145"/>
      <c r="G1768" s="145"/>
      <c r="H1768" s="145"/>
      <c r="I1768" s="145"/>
    </row>
    <row r="1769" spans="1:9" s="17" customFormat="1" ht="16.5" customHeight="1" x14ac:dyDescent="0.2">
      <c r="A1769" s="145"/>
      <c r="B1769" s="145"/>
      <c r="C1769" s="145"/>
      <c r="D1769" s="145"/>
      <c r="E1769" s="145"/>
      <c r="F1769" s="145"/>
      <c r="G1769" s="145"/>
      <c r="H1769" s="145"/>
      <c r="I1769" s="145"/>
    </row>
    <row r="1770" spans="1:9" s="17" customFormat="1" ht="16.5" customHeight="1" x14ac:dyDescent="0.2">
      <c r="A1770" s="145"/>
      <c r="B1770" s="145"/>
      <c r="C1770" s="145"/>
      <c r="D1770" s="145"/>
      <c r="E1770" s="145"/>
      <c r="F1770" s="145"/>
      <c r="G1770" s="145"/>
      <c r="H1770" s="145"/>
      <c r="I1770" s="145"/>
    </row>
    <row r="1771" spans="1:9" s="17" customFormat="1" ht="16.5" customHeight="1" x14ac:dyDescent="0.2">
      <c r="A1771" s="145"/>
      <c r="B1771" s="145"/>
      <c r="C1771" s="145"/>
      <c r="D1771" s="145"/>
      <c r="E1771" s="145"/>
      <c r="F1771" s="145"/>
      <c r="G1771" s="145"/>
      <c r="H1771" s="145"/>
      <c r="I1771" s="257"/>
    </row>
    <row r="1772" spans="1:9" s="17" customFormat="1" ht="16.5" customHeight="1" x14ac:dyDescent="0.2">
      <c r="A1772" s="145"/>
      <c r="B1772" s="145"/>
      <c r="C1772" s="145"/>
      <c r="D1772" s="145"/>
      <c r="E1772" s="145"/>
      <c r="F1772" s="145"/>
      <c r="G1772" s="145"/>
      <c r="H1772" s="145"/>
      <c r="I1772" s="257"/>
    </row>
    <row r="1773" spans="1:9" s="17" customFormat="1" ht="16.5" customHeight="1" x14ac:dyDescent="0.2">
      <c r="A1773" s="145"/>
      <c r="B1773" s="145"/>
      <c r="C1773" s="145"/>
      <c r="D1773" s="145"/>
      <c r="E1773" s="145"/>
      <c r="F1773" s="145"/>
      <c r="G1773" s="145"/>
      <c r="H1773" s="145"/>
      <c r="I1773" s="257"/>
    </row>
    <row r="1774" spans="1:9" s="17" customFormat="1" ht="16.5" customHeight="1" x14ac:dyDescent="0.2">
      <c r="A1774" s="145"/>
      <c r="B1774" s="145"/>
      <c r="C1774" s="145"/>
      <c r="D1774" s="145"/>
      <c r="E1774" s="145"/>
      <c r="F1774" s="145"/>
      <c r="G1774" s="145"/>
      <c r="H1774" s="145"/>
      <c r="I1774" s="257"/>
    </row>
    <row r="1775" spans="1:9" s="17" customFormat="1" ht="16.5" customHeight="1" x14ac:dyDescent="0.2">
      <c r="A1775" s="145"/>
      <c r="B1775" s="145"/>
      <c r="C1775" s="145"/>
      <c r="D1775" s="145"/>
      <c r="E1775" s="145"/>
      <c r="F1775" s="145"/>
      <c r="G1775" s="145"/>
      <c r="H1775" s="145"/>
      <c r="I1775" s="257">
        <v>31</v>
      </c>
    </row>
    <row r="1776" spans="1:9" s="17" customFormat="1" ht="16.5" customHeight="1" x14ac:dyDescent="0.2">
      <c r="A1776" s="145"/>
      <c r="B1776" s="145"/>
      <c r="C1776" s="145"/>
      <c r="D1776" s="145"/>
      <c r="E1776" s="145"/>
      <c r="F1776" s="145"/>
      <c r="G1776" s="145"/>
      <c r="H1776" s="145"/>
      <c r="I1776" s="257"/>
    </row>
    <row r="1777" spans="1:9" s="17" customFormat="1" ht="16.5" customHeight="1" x14ac:dyDescent="0.2">
      <c r="A1777" s="145"/>
      <c r="B1777" s="145"/>
      <c r="C1777" s="145"/>
      <c r="D1777" s="145"/>
      <c r="E1777" s="145"/>
      <c r="F1777" s="145"/>
      <c r="G1777" s="145"/>
      <c r="H1777" s="145"/>
      <c r="I1777" s="257"/>
    </row>
    <row r="1778" spans="1:9" s="17" customFormat="1" ht="16.5" customHeight="1" x14ac:dyDescent="0.2">
      <c r="A1778" s="635" t="s">
        <v>448</v>
      </c>
      <c r="B1778" s="635"/>
      <c r="C1778" s="635"/>
      <c r="D1778" s="635"/>
      <c r="E1778" s="635"/>
      <c r="F1778" s="635"/>
      <c r="G1778" s="635"/>
      <c r="H1778" s="635"/>
      <c r="I1778" s="635"/>
    </row>
    <row r="1779" spans="1:9" s="17" customFormat="1" ht="16.5" customHeight="1" x14ac:dyDescent="0.2">
      <c r="A1779" s="24"/>
      <c r="B1779" s="24"/>
      <c r="C1779" s="24"/>
      <c r="D1779" s="24"/>
      <c r="E1779" s="24"/>
      <c r="F1779" s="24"/>
      <c r="G1779" s="24"/>
      <c r="H1779" s="24"/>
      <c r="I1779" s="24"/>
    </row>
    <row r="1780" spans="1:9" s="17" customFormat="1" ht="16.5" customHeight="1" x14ac:dyDescent="0.2">
      <c r="A1780" s="623" t="s">
        <v>449</v>
      </c>
      <c r="B1780" s="623"/>
      <c r="C1780" s="623"/>
      <c r="D1780" s="623"/>
      <c r="E1780" s="623"/>
      <c r="F1780" s="623"/>
      <c r="G1780" s="623"/>
      <c r="H1780" s="623"/>
      <c r="I1780" s="623"/>
    </row>
    <row r="1781" spans="1:9" s="17" customFormat="1" ht="19.5" customHeight="1" x14ac:dyDescent="0.2">
      <c r="A1781" s="303"/>
      <c r="B1781" s="303"/>
      <c r="C1781" s="303"/>
      <c r="D1781" s="303"/>
      <c r="E1781" s="303"/>
      <c r="F1781" s="303"/>
      <c r="G1781" s="303"/>
      <c r="H1781" s="303"/>
      <c r="I1781" s="303"/>
    </row>
    <row r="1782" spans="1:9" s="17" customFormat="1" ht="16.5" customHeight="1" x14ac:dyDescent="0.2">
      <c r="A1782" s="746" t="s">
        <v>494</v>
      </c>
      <c r="B1782" s="746"/>
      <c r="C1782" s="746"/>
      <c r="D1782" s="746"/>
      <c r="E1782" s="746"/>
      <c r="F1782" s="746"/>
      <c r="G1782" s="746"/>
      <c r="H1782" s="746"/>
      <c r="I1782" s="746"/>
    </row>
    <row r="1783" spans="1:9" s="17" customFormat="1" ht="16.5" customHeight="1" x14ac:dyDescent="0.2">
      <c r="A1783" s="145"/>
      <c r="B1783" s="145"/>
      <c r="C1783" s="145"/>
      <c r="D1783" s="145"/>
      <c r="E1783" s="605" t="s">
        <v>84</v>
      </c>
      <c r="F1783" s="145"/>
      <c r="G1783" s="145"/>
      <c r="H1783" s="145"/>
      <c r="I1783" s="145"/>
    </row>
    <row r="1784" spans="1:9" s="17" customFormat="1" ht="17.25" customHeight="1" x14ac:dyDescent="0.2">
      <c r="A1784" s="224"/>
      <c r="B1784" s="247"/>
      <c r="C1784" s="15"/>
      <c r="D1784" s="156"/>
      <c r="E1784" s="606"/>
      <c r="F1784" s="156"/>
      <c r="G1784" s="224"/>
      <c r="H1784" s="156"/>
      <c r="I1784" s="156"/>
    </row>
    <row r="1785" spans="1:9" s="17" customFormat="1" ht="16.5" customHeight="1" x14ac:dyDescent="0.2">
      <c r="A1785" s="192" t="s">
        <v>48</v>
      </c>
      <c r="B1785" s="615" t="s">
        <v>49</v>
      </c>
      <c r="C1785" s="616"/>
      <c r="D1785" s="411" t="s">
        <v>85</v>
      </c>
      <c r="E1785" s="409" t="s">
        <v>152</v>
      </c>
      <c r="F1785" s="42" t="s">
        <v>86</v>
      </c>
      <c r="G1785" s="619" t="s">
        <v>52</v>
      </c>
      <c r="H1785" s="620"/>
      <c r="I1785" s="613" t="s">
        <v>53</v>
      </c>
    </row>
    <row r="1786" spans="1:9" s="17" customFormat="1" ht="16.5" customHeight="1" x14ac:dyDescent="0.2">
      <c r="A1786" s="193" t="s">
        <v>87</v>
      </c>
      <c r="B1786" s="617"/>
      <c r="C1786" s="618"/>
      <c r="D1786" s="412" t="s">
        <v>537</v>
      </c>
      <c r="E1786" s="44" t="s">
        <v>571</v>
      </c>
      <c r="F1786" s="44" t="s">
        <v>571</v>
      </c>
      <c r="G1786" s="29" t="s">
        <v>55</v>
      </c>
      <c r="H1786" s="29" t="s">
        <v>56</v>
      </c>
      <c r="I1786" s="614"/>
    </row>
    <row r="1787" spans="1:9" s="17" customFormat="1" ht="15" customHeight="1" x14ac:dyDescent="0.2">
      <c r="A1787" s="164">
        <v>1</v>
      </c>
      <c r="B1787" s="717">
        <v>2</v>
      </c>
      <c r="C1787" s="718"/>
      <c r="D1787" s="163">
        <v>3</v>
      </c>
      <c r="E1787" s="147">
        <v>4</v>
      </c>
      <c r="F1787" s="147">
        <v>5</v>
      </c>
      <c r="G1787" s="147">
        <v>6</v>
      </c>
      <c r="H1787" s="147">
        <v>7</v>
      </c>
      <c r="I1787" s="164">
        <v>8</v>
      </c>
    </row>
    <row r="1788" spans="1:9" s="17" customFormat="1" ht="16.5" customHeight="1" x14ac:dyDescent="0.2">
      <c r="A1788" s="86">
        <v>111</v>
      </c>
      <c r="B1788" s="601" t="s">
        <v>184</v>
      </c>
      <c r="C1788" s="602"/>
      <c r="D1788" s="6">
        <f>D626</f>
        <v>61501.06</v>
      </c>
      <c r="E1788" s="6">
        <f>E626</f>
        <v>47732.37</v>
      </c>
      <c r="F1788" s="6">
        <f>F626</f>
        <v>47732.37</v>
      </c>
      <c r="G1788" s="91">
        <f t="shared" ref="G1788:G1793" si="99">F1788/D1788</f>
        <v>0.77612272048644371</v>
      </c>
      <c r="H1788" s="92">
        <f t="shared" ref="H1788:H1793" si="100">F1788/E1788</f>
        <v>1</v>
      </c>
      <c r="I1788" s="92">
        <f>F1788/F1793</f>
        <v>0.10145824370535252</v>
      </c>
    </row>
    <row r="1789" spans="1:9" s="17" customFormat="1" ht="16.5" customHeight="1" x14ac:dyDescent="0.2">
      <c r="A1789" s="86">
        <v>130</v>
      </c>
      <c r="B1789" s="601" t="s">
        <v>185</v>
      </c>
      <c r="C1789" s="602"/>
      <c r="D1789" s="6">
        <f>D847</f>
        <v>8955.7199999999993</v>
      </c>
      <c r="E1789" s="6">
        <f>E847</f>
        <v>13500</v>
      </c>
      <c r="F1789" s="6">
        <f>F847</f>
        <v>13338.9</v>
      </c>
      <c r="G1789" s="91">
        <f t="shared" si="99"/>
        <v>1.4894279856895929</v>
      </c>
      <c r="H1789" s="92">
        <f t="shared" si="100"/>
        <v>0.98806666666666665</v>
      </c>
      <c r="I1789" s="92">
        <f>F1789/F1793</f>
        <v>2.8352695811277053E-2</v>
      </c>
    </row>
    <row r="1790" spans="1:9" s="17" customFormat="1" ht="16.5" customHeight="1" x14ac:dyDescent="0.2">
      <c r="A1790" s="86">
        <v>132</v>
      </c>
      <c r="B1790" s="601" t="s">
        <v>186</v>
      </c>
      <c r="C1790" s="602"/>
      <c r="D1790" s="6">
        <f>D959</f>
        <v>0</v>
      </c>
      <c r="E1790" s="6">
        <f>E959</f>
        <v>0</v>
      </c>
      <c r="F1790" s="6">
        <f>F959</f>
        <v>0</v>
      </c>
      <c r="G1790" s="91" t="e">
        <f t="shared" si="99"/>
        <v>#DIV/0!</v>
      </c>
      <c r="H1790" s="92" t="e">
        <f t="shared" si="100"/>
        <v>#DIV/0!</v>
      </c>
      <c r="I1790" s="92">
        <f>F1790/F1793</f>
        <v>0</v>
      </c>
    </row>
    <row r="1791" spans="1:9" s="17" customFormat="1" ht="16.5" customHeight="1" x14ac:dyDescent="0.2">
      <c r="A1791" s="86">
        <v>200</v>
      </c>
      <c r="B1791" s="601" t="s">
        <v>187</v>
      </c>
      <c r="C1791" s="602"/>
      <c r="D1791" s="6">
        <f>D1072</f>
        <v>0</v>
      </c>
      <c r="E1791" s="6">
        <f>E1072</f>
        <v>0</v>
      </c>
      <c r="F1791" s="6">
        <f>F1072</f>
        <v>0</v>
      </c>
      <c r="G1791" s="91" t="e">
        <f t="shared" si="99"/>
        <v>#DIV/0!</v>
      </c>
      <c r="H1791" s="92" t="e">
        <f t="shared" si="100"/>
        <v>#DIV/0!</v>
      </c>
      <c r="I1791" s="92">
        <f>F1791/F1793</f>
        <v>0</v>
      </c>
    </row>
    <row r="1792" spans="1:9" s="17" customFormat="1" ht="16.5" customHeight="1" x14ac:dyDescent="0.2">
      <c r="A1792" s="86">
        <v>300</v>
      </c>
      <c r="B1792" s="601" t="s">
        <v>188</v>
      </c>
      <c r="C1792" s="602"/>
      <c r="D1792" s="6">
        <f>D1181</f>
        <v>200000</v>
      </c>
      <c r="E1792" s="6">
        <f>E1181</f>
        <v>410000</v>
      </c>
      <c r="F1792" s="6">
        <f>F1181</f>
        <v>409391.93</v>
      </c>
      <c r="G1792" s="91">
        <f t="shared" si="99"/>
        <v>2.0469596499999998</v>
      </c>
      <c r="H1792" s="92">
        <f t="shared" si="100"/>
        <v>0.99851690243902436</v>
      </c>
      <c r="I1792" s="92">
        <f>F1792/F1793</f>
        <v>0.87018906048337041</v>
      </c>
    </row>
    <row r="1793" spans="1:9" s="17" customFormat="1" ht="16.5" customHeight="1" x14ac:dyDescent="0.2">
      <c r="A1793" s="168"/>
      <c r="B1793" s="625" t="s">
        <v>83</v>
      </c>
      <c r="C1793" s="626"/>
      <c r="D1793" s="508">
        <f>D1788+D1789+D1790+D1791+D1792</f>
        <v>270456.78000000003</v>
      </c>
      <c r="E1793" s="508">
        <f>E1788+E1789+E1790+E1791+E1792</f>
        <v>471232.37</v>
      </c>
      <c r="F1793" s="414">
        <f>F1788+F1789+F1790+F1791+F1792</f>
        <v>470463.2</v>
      </c>
      <c r="G1793" s="200">
        <f t="shared" si="99"/>
        <v>1.7395134261378102</v>
      </c>
      <c r="H1793" s="155">
        <f t="shared" si="100"/>
        <v>0.99836774795415695</v>
      </c>
      <c r="I1793" s="206">
        <f>SUM(I1788:I1792)</f>
        <v>1</v>
      </c>
    </row>
    <row r="1794" spans="1:9" s="17" customFormat="1" ht="16.5" customHeight="1" x14ac:dyDescent="0.2">
      <c r="A1794" s="314"/>
      <c r="B1794" s="314"/>
      <c r="C1794" s="314"/>
      <c r="D1794" s="314"/>
      <c r="E1794" s="314"/>
      <c r="F1794" s="314"/>
      <c r="G1794" s="156"/>
      <c r="H1794" s="20"/>
      <c r="I1794" s="315"/>
    </row>
    <row r="1795" spans="1:9" s="17" customFormat="1" ht="16.5" customHeight="1" x14ac:dyDescent="0.2">
      <c r="A1795" s="264"/>
      <c r="B1795" s="627" t="s">
        <v>827</v>
      </c>
      <c r="C1795" s="627"/>
      <c r="D1795" s="627"/>
      <c r="E1795" s="627"/>
      <c r="F1795" s="627"/>
      <c r="G1795" s="627"/>
      <c r="H1795" s="627"/>
      <c r="I1795" s="627"/>
    </row>
    <row r="1796" spans="1:9" s="17" customFormat="1" ht="18" customHeight="1" x14ac:dyDescent="0.2">
      <c r="A1796" s="627" t="s">
        <v>828</v>
      </c>
      <c r="B1796" s="627"/>
      <c r="C1796" s="627"/>
      <c r="D1796" s="627"/>
      <c r="E1796" s="627"/>
      <c r="F1796" s="627"/>
      <c r="G1796" s="627"/>
      <c r="H1796" s="627"/>
      <c r="I1796" s="627"/>
    </row>
    <row r="1797" spans="1:9" s="17" customFormat="1" ht="16.5" customHeight="1" x14ac:dyDescent="0.2">
      <c r="A1797" s="621" t="s">
        <v>829</v>
      </c>
      <c r="B1797" s="621"/>
      <c r="C1797" s="621"/>
      <c r="D1797" s="621"/>
      <c r="E1797" s="621"/>
      <c r="F1797" s="621"/>
      <c r="G1797" s="621"/>
      <c r="H1797" s="621"/>
      <c r="I1797" s="621"/>
    </row>
    <row r="1798" spans="1:9" s="17" customFormat="1" ht="16.5" customHeight="1" x14ac:dyDescent="0.2">
      <c r="A1798" s="621" t="s">
        <v>830</v>
      </c>
      <c r="B1798" s="621"/>
      <c r="C1798" s="621"/>
      <c r="D1798" s="621"/>
      <c r="E1798" s="621"/>
      <c r="F1798" s="621"/>
      <c r="G1798" s="621"/>
      <c r="H1798" s="621"/>
      <c r="I1798" s="621"/>
    </row>
    <row r="1799" spans="1:9" s="17" customFormat="1" ht="16.5" customHeight="1" x14ac:dyDescent="0.2">
      <c r="A1799" s="621" t="s">
        <v>831</v>
      </c>
      <c r="B1799" s="621"/>
      <c r="C1799" s="621"/>
      <c r="D1799" s="621"/>
      <c r="E1799" s="621"/>
      <c r="F1799" s="621"/>
      <c r="G1799" s="621"/>
      <c r="H1799" s="621"/>
      <c r="I1799" s="621"/>
    </row>
    <row r="1800" spans="1:9" s="17" customFormat="1" ht="16.5" customHeight="1" x14ac:dyDescent="0.2">
      <c r="A1800" s="621" t="s">
        <v>832</v>
      </c>
      <c r="B1800" s="621"/>
      <c r="C1800" s="621"/>
      <c r="D1800" s="621"/>
      <c r="E1800" s="621"/>
      <c r="F1800" s="621"/>
      <c r="G1800" s="621"/>
      <c r="H1800" s="621"/>
      <c r="I1800" s="621"/>
    </row>
    <row r="1801" spans="1:9" s="17" customFormat="1" ht="16.5" customHeight="1" x14ac:dyDescent="0.2">
      <c r="A1801" s="621" t="s">
        <v>833</v>
      </c>
      <c r="B1801" s="621"/>
      <c r="C1801" s="621"/>
      <c r="D1801" s="621"/>
      <c r="E1801" s="621"/>
      <c r="F1801" s="621"/>
      <c r="G1801" s="621"/>
      <c r="H1801" s="621"/>
      <c r="I1801" s="621"/>
    </row>
    <row r="1802" spans="1:9" s="17" customFormat="1" ht="16.5" customHeight="1" x14ac:dyDescent="0.2">
      <c r="A1802" s="621" t="s">
        <v>834</v>
      </c>
      <c r="B1802" s="621"/>
      <c r="C1802" s="621"/>
      <c r="D1802" s="621"/>
      <c r="E1802" s="621"/>
      <c r="F1802" s="621"/>
      <c r="G1802" s="621"/>
      <c r="H1802" s="621"/>
      <c r="I1802" s="621"/>
    </row>
    <row r="1803" spans="1:9" s="17" customFormat="1" ht="16.5" customHeight="1" x14ac:dyDescent="0.2">
      <c r="A1803" s="145"/>
      <c r="B1803" s="145" t="s">
        <v>835</v>
      </c>
      <c r="C1803" s="145"/>
      <c r="D1803" s="145"/>
      <c r="E1803" s="145"/>
      <c r="F1803" s="145"/>
      <c r="G1803" s="145"/>
      <c r="H1803" s="145"/>
      <c r="I1803" s="145"/>
    </row>
    <row r="1804" spans="1:9" s="17" customFormat="1" ht="16.5" customHeight="1" x14ac:dyDescent="0.2">
      <c r="A1804" s="145"/>
      <c r="B1804" s="145" t="s">
        <v>836</v>
      </c>
      <c r="C1804" s="145"/>
      <c r="D1804" s="145"/>
      <c r="E1804" s="145"/>
      <c r="F1804" s="145"/>
      <c r="G1804" s="145"/>
      <c r="H1804" s="145"/>
      <c r="I1804" s="145"/>
    </row>
    <row r="1805" spans="1:9" s="17" customFormat="1" ht="16.5" customHeight="1" x14ac:dyDescent="0.2">
      <c r="A1805" s="145"/>
      <c r="B1805" s="145"/>
      <c r="C1805" s="145"/>
      <c r="D1805" s="145"/>
      <c r="E1805" s="145"/>
      <c r="F1805" s="145"/>
      <c r="G1805" s="145"/>
      <c r="H1805" s="145"/>
      <c r="I1805" s="145"/>
    </row>
    <row r="1806" spans="1:9" s="17" customFormat="1" ht="16.5" customHeight="1" x14ac:dyDescent="0.2">
      <c r="A1806" s="145"/>
      <c r="B1806" s="145"/>
      <c r="C1806" s="145"/>
      <c r="D1806" s="145"/>
      <c r="E1806" s="145"/>
      <c r="F1806" s="145"/>
      <c r="G1806" s="145"/>
      <c r="H1806" s="145"/>
      <c r="I1806" s="145"/>
    </row>
    <row r="1807" spans="1:9" s="17" customFormat="1" ht="16.5" customHeight="1" x14ac:dyDescent="0.2">
      <c r="A1807" s="145"/>
      <c r="B1807" s="145"/>
      <c r="C1807" s="145"/>
      <c r="D1807" s="145"/>
      <c r="E1807" s="145"/>
      <c r="F1807" s="145"/>
      <c r="G1807" s="145"/>
      <c r="H1807" s="145"/>
      <c r="I1807" s="145"/>
    </row>
    <row r="1808" spans="1:9" s="17" customFormat="1" ht="16.5" customHeight="1" x14ac:dyDescent="0.2">
      <c r="A1808" s="145"/>
      <c r="B1808" s="145"/>
      <c r="C1808" s="145"/>
      <c r="D1808" s="145"/>
      <c r="E1808" s="145"/>
      <c r="F1808" s="145"/>
      <c r="G1808" s="145"/>
      <c r="H1808" s="145"/>
      <c r="I1808" s="145"/>
    </row>
    <row r="1809" spans="1:9" s="17" customFormat="1" ht="16.5" customHeight="1" x14ac:dyDescent="0.2">
      <c r="A1809" s="145"/>
      <c r="B1809" s="145"/>
      <c r="C1809" s="145"/>
      <c r="D1809" s="145"/>
      <c r="E1809" s="145"/>
      <c r="F1809" s="145"/>
      <c r="G1809" s="145"/>
      <c r="H1809" s="145"/>
      <c r="I1809" s="145"/>
    </row>
    <row r="1810" spans="1:9" s="17" customFormat="1" ht="16.5" customHeight="1" x14ac:dyDescent="0.2">
      <c r="A1810" s="145"/>
      <c r="B1810" s="145"/>
      <c r="C1810" s="145"/>
      <c r="D1810" s="145"/>
      <c r="E1810" s="145"/>
      <c r="F1810" s="145"/>
      <c r="G1810" s="145"/>
      <c r="H1810" s="145"/>
      <c r="I1810" s="145"/>
    </row>
    <row r="1811" spans="1:9" s="17" customFormat="1" ht="16.5" customHeight="1" x14ac:dyDescent="0.2">
      <c r="A1811" s="145"/>
      <c r="B1811" s="145"/>
      <c r="C1811" s="145"/>
      <c r="D1811" s="145"/>
      <c r="E1811" s="145"/>
      <c r="F1811" s="145"/>
      <c r="G1811" s="145"/>
      <c r="H1811" s="145"/>
      <c r="I1811" s="145"/>
    </row>
    <row r="1812" spans="1:9" s="17" customFormat="1" ht="16.5" customHeight="1" x14ac:dyDescent="0.2">
      <c r="A1812" s="145"/>
      <c r="B1812" s="145"/>
      <c r="C1812" s="145"/>
      <c r="D1812" s="145"/>
      <c r="E1812" s="145"/>
      <c r="F1812" s="145"/>
      <c r="G1812" s="145"/>
      <c r="H1812" s="145"/>
      <c r="I1812" s="145"/>
    </row>
    <row r="1813" spans="1:9" s="17" customFormat="1" ht="16.5" customHeight="1" x14ac:dyDescent="0.2">
      <c r="A1813" s="145"/>
      <c r="B1813" s="145"/>
      <c r="C1813" s="145"/>
      <c r="D1813" s="145"/>
      <c r="E1813" s="145"/>
      <c r="F1813" s="145"/>
      <c r="G1813" s="145"/>
      <c r="H1813" s="145"/>
      <c r="I1813" s="145"/>
    </row>
    <row r="1814" spans="1:9" s="17" customFormat="1" ht="16.5" customHeight="1" x14ac:dyDescent="0.2">
      <c r="A1814" s="145"/>
      <c r="B1814" s="145"/>
      <c r="C1814" s="145"/>
      <c r="D1814" s="145"/>
      <c r="E1814" s="145"/>
      <c r="F1814" s="145"/>
      <c r="G1814" s="145"/>
      <c r="H1814" s="145"/>
      <c r="I1814" s="145"/>
    </row>
    <row r="1815" spans="1:9" s="17" customFormat="1" ht="16.5" customHeight="1" x14ac:dyDescent="0.2">
      <c r="A1815" s="145"/>
      <c r="B1815" s="145"/>
      <c r="C1815" s="145"/>
      <c r="D1815" s="145"/>
      <c r="E1815" s="145"/>
      <c r="F1815" s="145"/>
      <c r="G1815" s="145"/>
      <c r="H1815" s="145"/>
      <c r="I1815" s="145"/>
    </row>
    <row r="1816" spans="1:9" s="17" customFormat="1" ht="16.5" customHeight="1" x14ac:dyDescent="0.2">
      <c r="A1816" s="145"/>
      <c r="B1816" s="145"/>
      <c r="C1816" s="145"/>
      <c r="D1816" s="145"/>
      <c r="E1816" s="145"/>
      <c r="F1816" s="145"/>
      <c r="G1816" s="145"/>
      <c r="H1816" s="145"/>
      <c r="I1816" s="145"/>
    </row>
    <row r="1817" spans="1:9" s="17" customFormat="1" ht="16.5" customHeight="1" x14ac:dyDescent="0.2">
      <c r="A1817" s="145"/>
      <c r="B1817" s="145"/>
      <c r="C1817" s="145"/>
      <c r="D1817" s="145"/>
      <c r="E1817" s="145"/>
      <c r="F1817" s="145"/>
      <c r="G1817" s="145"/>
      <c r="H1817" s="145"/>
      <c r="I1817" s="145"/>
    </row>
    <row r="1818" spans="1:9" s="17" customFormat="1" ht="16.5" customHeight="1" x14ac:dyDescent="0.2">
      <c r="A1818" s="145"/>
      <c r="B1818" s="145"/>
      <c r="C1818" s="145"/>
      <c r="D1818" s="145"/>
      <c r="E1818" s="145"/>
      <c r="F1818" s="145"/>
      <c r="G1818" s="145"/>
      <c r="H1818" s="145"/>
      <c r="I1818" s="145"/>
    </row>
    <row r="1819" spans="1:9" s="17" customFormat="1" ht="16.5" customHeight="1" x14ac:dyDescent="0.2">
      <c r="A1819" s="145"/>
      <c r="B1819" s="145"/>
      <c r="C1819" s="145"/>
      <c r="D1819" s="145"/>
      <c r="E1819" s="145"/>
      <c r="F1819" s="145"/>
      <c r="G1819" s="145"/>
      <c r="H1819" s="145"/>
      <c r="I1819" s="145"/>
    </row>
    <row r="1820" spans="1:9" s="17" customFormat="1" ht="16.5" customHeight="1" x14ac:dyDescent="0.2">
      <c r="A1820" s="145"/>
      <c r="B1820" s="145"/>
      <c r="C1820" s="145"/>
      <c r="D1820" s="145"/>
      <c r="E1820" s="145"/>
      <c r="F1820" s="145"/>
      <c r="G1820" s="145"/>
      <c r="H1820" s="145"/>
      <c r="I1820" s="145"/>
    </row>
    <row r="1821" spans="1:9" s="17" customFormat="1" ht="16.5" customHeight="1" x14ac:dyDescent="0.2">
      <c r="A1821" s="145"/>
      <c r="B1821" s="145"/>
      <c r="C1821" s="145"/>
      <c r="D1821" s="145"/>
      <c r="E1821" s="145"/>
      <c r="F1821" s="145"/>
      <c r="G1821" s="145"/>
      <c r="H1821" s="145"/>
      <c r="I1821" s="145"/>
    </row>
    <row r="1822" spans="1:9" s="17" customFormat="1" ht="16.5" customHeight="1" x14ac:dyDescent="0.2">
      <c r="A1822" s="145"/>
      <c r="B1822" s="145"/>
      <c r="C1822" s="145"/>
      <c r="D1822" s="145"/>
      <c r="E1822" s="145"/>
      <c r="F1822" s="145"/>
      <c r="G1822" s="145"/>
      <c r="H1822" s="145"/>
      <c r="I1822" s="145"/>
    </row>
    <row r="1823" spans="1:9" s="17" customFormat="1" ht="16.5" customHeight="1" x14ac:dyDescent="0.2">
      <c r="A1823" s="145"/>
      <c r="B1823" s="145"/>
      <c r="C1823" s="145"/>
      <c r="D1823" s="145"/>
      <c r="E1823" s="145"/>
      <c r="F1823" s="145"/>
      <c r="G1823" s="145"/>
      <c r="H1823" s="145"/>
      <c r="I1823" s="145"/>
    </row>
    <row r="1824" spans="1:9" s="17" customFormat="1" ht="16.5" customHeight="1" x14ac:dyDescent="0.2">
      <c r="A1824" s="145"/>
      <c r="B1824" s="145"/>
      <c r="C1824" s="145"/>
      <c r="D1824" s="145"/>
      <c r="E1824" s="145"/>
      <c r="F1824" s="145"/>
      <c r="G1824" s="145"/>
      <c r="H1824" s="145"/>
      <c r="I1824" s="145"/>
    </row>
    <row r="1825" spans="1:9" s="17" customFormat="1" ht="16.5" customHeight="1" x14ac:dyDescent="0.2">
      <c r="A1825" s="145"/>
      <c r="B1825" s="145"/>
      <c r="C1825" s="145"/>
      <c r="D1825" s="145"/>
      <c r="E1825" s="145"/>
      <c r="F1825" s="145"/>
      <c r="G1825" s="145"/>
      <c r="H1825" s="145"/>
      <c r="I1825" s="145"/>
    </row>
    <row r="1826" spans="1:9" s="17" customFormat="1" ht="16.5" customHeight="1" x14ac:dyDescent="0.2">
      <c r="A1826" s="145"/>
      <c r="B1826" s="145"/>
      <c r="C1826" s="145"/>
      <c r="D1826" s="145"/>
      <c r="E1826" s="145"/>
      <c r="F1826" s="145"/>
      <c r="G1826" s="145"/>
      <c r="H1826" s="145"/>
      <c r="I1826" s="145"/>
    </row>
    <row r="1827" spans="1:9" s="17" customFormat="1" ht="16.5" customHeight="1" x14ac:dyDescent="0.2">
      <c r="A1827" s="145"/>
      <c r="B1827" s="145"/>
      <c r="C1827" s="145"/>
      <c r="D1827" s="145"/>
      <c r="E1827" s="145"/>
      <c r="F1827" s="145"/>
      <c r="G1827" s="145"/>
      <c r="H1827" s="145"/>
      <c r="I1827" s="145"/>
    </row>
    <row r="1828" spans="1:9" s="17" customFormat="1" ht="16.5" customHeight="1" x14ac:dyDescent="0.2">
      <c r="A1828" s="145"/>
      <c r="B1828" s="145"/>
      <c r="C1828" s="145"/>
      <c r="D1828" s="145"/>
      <c r="E1828" s="145"/>
      <c r="F1828" s="145"/>
      <c r="G1828" s="145"/>
      <c r="H1828" s="145"/>
      <c r="I1828" s="145"/>
    </row>
    <row r="1829" spans="1:9" s="17" customFormat="1" ht="16.5" customHeight="1" x14ac:dyDescent="0.2">
      <c r="A1829" s="145"/>
      <c r="B1829" s="145"/>
      <c r="C1829" s="145"/>
      <c r="D1829" s="145"/>
      <c r="E1829" s="145"/>
      <c r="F1829" s="145"/>
      <c r="G1829" s="145"/>
      <c r="H1829" s="145"/>
      <c r="I1829" s="145"/>
    </row>
    <row r="1830" spans="1:9" s="17" customFormat="1" ht="16.5" customHeight="1" x14ac:dyDescent="0.2">
      <c r="I1830" s="304">
        <v>32</v>
      </c>
    </row>
    <row r="1831" spans="1:9" s="17" customFormat="1" ht="16.5" customHeight="1" x14ac:dyDescent="0.3">
      <c r="B1831" s="366" t="s">
        <v>342</v>
      </c>
      <c r="C1831" s="304"/>
      <c r="D1831" s="304"/>
    </row>
    <row r="1832" spans="1:9" s="17" customFormat="1" ht="16.5" customHeight="1" x14ac:dyDescent="0.2"/>
    <row r="1833" spans="1:9" s="17" customFormat="1" ht="16.5" customHeight="1" x14ac:dyDescent="0.2">
      <c r="A1833" s="21"/>
      <c r="B1833" s="603" t="s">
        <v>837</v>
      </c>
      <c r="C1833" s="603"/>
      <c r="D1833" s="603"/>
      <c r="E1833" s="603"/>
      <c r="F1833" s="603"/>
      <c r="G1833" s="603"/>
      <c r="H1833" s="603"/>
      <c r="I1833" s="603"/>
    </row>
    <row r="1834" spans="1:9" s="17" customFormat="1" ht="19.5" customHeight="1" x14ac:dyDescent="0.2">
      <c r="A1834" s="603" t="s">
        <v>838</v>
      </c>
      <c r="B1834" s="603"/>
      <c r="C1834" s="603"/>
      <c r="D1834" s="603"/>
      <c r="E1834" s="603"/>
      <c r="F1834" s="603"/>
      <c r="G1834" s="603"/>
      <c r="H1834" s="603"/>
      <c r="I1834" s="603"/>
    </row>
    <row r="1835" spans="1:9" s="17" customFormat="1" ht="16.5" customHeight="1" x14ac:dyDescent="0.2">
      <c r="A1835" s="21"/>
      <c r="B1835" s="603" t="s">
        <v>327</v>
      </c>
      <c r="C1835" s="603"/>
      <c r="D1835" s="603"/>
      <c r="E1835" s="603"/>
      <c r="F1835" s="603"/>
      <c r="G1835" s="603"/>
      <c r="H1835" s="603"/>
      <c r="I1835" s="603"/>
    </row>
    <row r="1836" spans="1:9" s="17" customFormat="1" ht="16.5" customHeight="1" x14ac:dyDescent="0.2">
      <c r="A1836" s="145"/>
      <c r="B1836" s="145"/>
      <c r="C1836" s="145"/>
      <c r="D1836" s="145"/>
      <c r="E1836" s="605" t="s">
        <v>84</v>
      </c>
      <c r="F1836" s="145"/>
      <c r="G1836" s="145"/>
      <c r="H1836" s="145"/>
      <c r="I1836" s="145"/>
    </row>
    <row r="1837" spans="1:9" s="17" customFormat="1" ht="16.5" customHeight="1" x14ac:dyDescent="0.2">
      <c r="A1837" s="224"/>
      <c r="B1837" s="247"/>
      <c r="C1837" s="15"/>
      <c r="D1837" s="156"/>
      <c r="E1837" s="605"/>
      <c r="F1837" s="156"/>
      <c r="G1837" s="224"/>
      <c r="H1837" s="156"/>
      <c r="I1837" s="156"/>
    </row>
    <row r="1838" spans="1:9" s="17" customFormat="1" ht="16.5" customHeight="1" x14ac:dyDescent="0.2">
      <c r="A1838" s="192" t="s">
        <v>48</v>
      </c>
      <c r="B1838" s="615" t="s">
        <v>49</v>
      </c>
      <c r="C1838" s="616"/>
      <c r="D1838" s="411" t="s">
        <v>85</v>
      </c>
      <c r="E1838" s="409" t="s">
        <v>320</v>
      </c>
      <c r="F1838" s="42" t="s">
        <v>86</v>
      </c>
      <c r="G1838" s="619" t="s">
        <v>52</v>
      </c>
      <c r="H1838" s="620"/>
      <c r="I1838" s="613" t="s">
        <v>53</v>
      </c>
    </row>
    <row r="1839" spans="1:9" s="17" customFormat="1" ht="12" customHeight="1" x14ac:dyDescent="0.2">
      <c r="A1839" s="193" t="s">
        <v>87</v>
      </c>
      <c r="B1839" s="617"/>
      <c r="C1839" s="618"/>
      <c r="D1839" s="412" t="s">
        <v>537</v>
      </c>
      <c r="E1839" s="44" t="s">
        <v>571</v>
      </c>
      <c r="F1839" s="44" t="s">
        <v>571</v>
      </c>
      <c r="G1839" s="29" t="s">
        <v>55</v>
      </c>
      <c r="H1839" s="29" t="s">
        <v>56</v>
      </c>
      <c r="I1839" s="614"/>
    </row>
    <row r="1840" spans="1:9" s="17" customFormat="1" ht="12" customHeight="1" x14ac:dyDescent="0.2">
      <c r="A1840" s="164">
        <v>1</v>
      </c>
      <c r="B1840" s="717">
        <v>2</v>
      </c>
      <c r="C1840" s="718"/>
      <c r="D1840" s="163">
        <v>3</v>
      </c>
      <c r="E1840" s="147">
        <v>4</v>
      </c>
      <c r="F1840" s="147">
        <v>5</v>
      </c>
      <c r="G1840" s="147">
        <v>6</v>
      </c>
      <c r="H1840" s="147">
        <v>7</v>
      </c>
      <c r="I1840" s="164">
        <v>8</v>
      </c>
    </row>
    <row r="1841" spans="1:9" s="17" customFormat="1" ht="16.5" customHeight="1" x14ac:dyDescent="0.2">
      <c r="A1841" s="84">
        <v>50012</v>
      </c>
      <c r="B1841" s="654" t="s">
        <v>426</v>
      </c>
      <c r="C1841" s="655"/>
      <c r="D1841" s="87">
        <f t="shared" ref="D1841:F1844" si="101">D275</f>
        <v>15099.26</v>
      </c>
      <c r="E1841" s="87">
        <f t="shared" si="101"/>
        <v>10816</v>
      </c>
      <c r="F1841" s="87">
        <f t="shared" si="101"/>
        <v>18919.7</v>
      </c>
      <c r="G1841" s="91">
        <f t="shared" ref="G1841:G1853" si="102">F1841/D1841</f>
        <v>1.2530216712607107</v>
      </c>
      <c r="H1841" s="92">
        <f t="shared" ref="H1841:H1853" si="103">F1841/E1841</f>
        <v>1.7492326183431954</v>
      </c>
      <c r="I1841" s="81">
        <f>F1841/F1850</f>
        <v>0.89753174855429629</v>
      </c>
    </row>
    <row r="1842" spans="1:9" s="17" customFormat="1" ht="16.5" customHeight="1" x14ac:dyDescent="0.2">
      <c r="A1842" s="84">
        <v>50103</v>
      </c>
      <c r="B1842" s="654" t="s">
        <v>466</v>
      </c>
      <c r="C1842" s="655"/>
      <c r="D1842" s="87">
        <f t="shared" si="101"/>
        <v>0</v>
      </c>
      <c r="E1842" s="87">
        <f t="shared" si="101"/>
        <v>0</v>
      </c>
      <c r="F1842" s="87">
        <f t="shared" si="101"/>
        <v>0</v>
      </c>
      <c r="G1842" s="91">
        <v>0</v>
      </c>
      <c r="H1842" s="92">
        <v>0</v>
      </c>
      <c r="I1842" s="81">
        <v>0</v>
      </c>
    </row>
    <row r="1843" spans="1:9" s="17" customFormat="1" ht="16.5" customHeight="1" x14ac:dyDescent="0.2">
      <c r="A1843" s="84">
        <v>500121</v>
      </c>
      <c r="B1843" s="654" t="s">
        <v>116</v>
      </c>
      <c r="C1843" s="655"/>
      <c r="D1843" s="87">
        <f t="shared" si="101"/>
        <v>0</v>
      </c>
      <c r="E1843" s="87">
        <f t="shared" si="101"/>
        <v>0</v>
      </c>
      <c r="F1843" s="87">
        <f t="shared" si="101"/>
        <v>0</v>
      </c>
      <c r="G1843" s="91" t="e">
        <f t="shared" si="102"/>
        <v>#DIV/0!</v>
      </c>
      <c r="H1843" s="92" t="e">
        <f t="shared" si="103"/>
        <v>#DIV/0!</v>
      </c>
      <c r="I1843" s="81">
        <f>F1843/F1850</f>
        <v>0</v>
      </c>
    </row>
    <row r="1844" spans="1:9" s="17" customFormat="1" ht="16.5" customHeight="1" x14ac:dyDescent="0.2">
      <c r="A1844" s="84">
        <v>500122</v>
      </c>
      <c r="B1844" s="690" t="s">
        <v>117</v>
      </c>
      <c r="C1844" s="691"/>
      <c r="D1844" s="87">
        <f t="shared" si="101"/>
        <v>0</v>
      </c>
      <c r="E1844" s="87">
        <f t="shared" si="101"/>
        <v>0</v>
      </c>
      <c r="F1844" s="87">
        <f t="shared" si="101"/>
        <v>0</v>
      </c>
      <c r="G1844" s="91" t="e">
        <f t="shared" si="102"/>
        <v>#DIV/0!</v>
      </c>
      <c r="H1844" s="92" t="e">
        <f t="shared" si="103"/>
        <v>#DIV/0!</v>
      </c>
      <c r="I1844" s="81">
        <f>F1844/F1850</f>
        <v>0</v>
      </c>
    </row>
    <row r="1845" spans="1:9" s="17" customFormat="1" ht="16.5" customHeight="1" x14ac:dyDescent="0.2">
      <c r="A1845" s="84">
        <v>500123</v>
      </c>
      <c r="B1845" s="690" t="s">
        <v>343</v>
      </c>
      <c r="C1845" s="691"/>
      <c r="D1845" s="87">
        <f t="shared" ref="D1845:F1849" si="104">D283</f>
        <v>0</v>
      </c>
      <c r="E1845" s="87">
        <f t="shared" si="104"/>
        <v>0</v>
      </c>
      <c r="F1845" s="87">
        <f t="shared" si="104"/>
        <v>0</v>
      </c>
      <c r="G1845" s="91" t="e">
        <f t="shared" si="102"/>
        <v>#DIV/0!</v>
      </c>
      <c r="H1845" s="92" t="e">
        <f t="shared" si="103"/>
        <v>#DIV/0!</v>
      </c>
      <c r="I1845" s="81">
        <f>F1845/F1850</f>
        <v>0</v>
      </c>
    </row>
    <row r="1846" spans="1:9" s="17" customFormat="1" ht="16.5" customHeight="1" x14ac:dyDescent="0.2">
      <c r="A1846" s="84">
        <v>50020</v>
      </c>
      <c r="B1846" s="654" t="s">
        <v>119</v>
      </c>
      <c r="C1846" s="655"/>
      <c r="D1846" s="87">
        <f t="shared" si="104"/>
        <v>0</v>
      </c>
      <c r="E1846" s="87">
        <f t="shared" si="104"/>
        <v>0</v>
      </c>
      <c r="F1846" s="87">
        <f t="shared" si="104"/>
        <v>0</v>
      </c>
      <c r="G1846" s="91" t="e">
        <f t="shared" si="102"/>
        <v>#DIV/0!</v>
      </c>
      <c r="H1846" s="92" t="e">
        <f t="shared" si="103"/>
        <v>#DIV/0!</v>
      </c>
      <c r="I1846" s="81">
        <f>F1846/F1850</f>
        <v>0</v>
      </c>
    </row>
    <row r="1847" spans="1:9" s="17" customFormat="1" ht="16.5" customHeight="1" x14ac:dyDescent="0.2">
      <c r="A1847" s="84">
        <v>50203</v>
      </c>
      <c r="B1847" s="692" t="s">
        <v>120</v>
      </c>
      <c r="C1847" s="693"/>
      <c r="D1847" s="87">
        <f t="shared" si="104"/>
        <v>0</v>
      </c>
      <c r="E1847" s="87">
        <f t="shared" si="104"/>
        <v>0</v>
      </c>
      <c r="F1847" s="87">
        <f t="shared" si="104"/>
        <v>0</v>
      </c>
      <c r="G1847" s="91" t="e">
        <f t="shared" si="102"/>
        <v>#DIV/0!</v>
      </c>
      <c r="H1847" s="92" t="e">
        <f t="shared" si="103"/>
        <v>#DIV/0!</v>
      </c>
      <c r="I1847" s="81">
        <f>F1847/F1850</f>
        <v>0</v>
      </c>
    </row>
    <row r="1848" spans="1:9" s="17" customFormat="1" ht="16.5" customHeight="1" x14ac:dyDescent="0.2">
      <c r="A1848" s="84">
        <v>50403</v>
      </c>
      <c r="B1848" s="690" t="s">
        <v>121</v>
      </c>
      <c r="C1848" s="691"/>
      <c r="D1848" s="87">
        <f t="shared" si="104"/>
        <v>0</v>
      </c>
      <c r="E1848" s="87">
        <f t="shared" si="104"/>
        <v>0</v>
      </c>
      <c r="F1848" s="87">
        <f t="shared" si="104"/>
        <v>0</v>
      </c>
      <c r="G1848" s="91" t="e">
        <f t="shared" si="102"/>
        <v>#DIV/0!</v>
      </c>
      <c r="H1848" s="92" t="e">
        <f t="shared" si="103"/>
        <v>#DIV/0!</v>
      </c>
      <c r="I1848" s="81">
        <f>F1848/F1850</f>
        <v>0</v>
      </c>
    </row>
    <row r="1849" spans="1:9" s="17" customFormat="1" ht="16.5" customHeight="1" x14ac:dyDescent="0.2">
      <c r="A1849" s="84">
        <v>50405</v>
      </c>
      <c r="B1849" s="690" t="s">
        <v>122</v>
      </c>
      <c r="C1849" s="691"/>
      <c r="D1849" s="87">
        <f t="shared" si="104"/>
        <v>2160</v>
      </c>
      <c r="E1849" s="87">
        <f t="shared" si="104"/>
        <v>1081.5999999999999</v>
      </c>
      <c r="F1849" s="87">
        <f t="shared" si="104"/>
        <v>2160</v>
      </c>
      <c r="G1849" s="91">
        <f t="shared" si="102"/>
        <v>1</v>
      </c>
      <c r="H1849" s="92">
        <f t="shared" si="103"/>
        <v>1.9970414201183433</v>
      </c>
      <c r="I1849" s="81">
        <f>F1849/F1850</f>
        <v>0.10246825144570368</v>
      </c>
    </row>
    <row r="1850" spans="1:9" s="17" customFormat="1" ht="16.5" customHeight="1" x14ac:dyDescent="0.2">
      <c r="A1850" s="84"/>
      <c r="B1850" s="678" t="s">
        <v>344</v>
      </c>
      <c r="C1850" s="679"/>
      <c r="D1850" s="107">
        <f>D1841+D1843+D1844+D1845+D1846+D1847+D1848+D1849</f>
        <v>17259.260000000002</v>
      </c>
      <c r="E1850" s="107">
        <f>E1841+E1843+E1844+E1845+E1846+E1847+E1848+E1849</f>
        <v>11897.6</v>
      </c>
      <c r="F1850" s="107">
        <f>F1841+F1843+F1844+F1845+F1846+F1847+F1848+F1849</f>
        <v>21079.7</v>
      </c>
      <c r="G1850" s="33">
        <f t="shared" si="102"/>
        <v>1.2213559561649803</v>
      </c>
      <c r="H1850" s="34">
        <f t="shared" si="103"/>
        <v>1.7717606912318451</v>
      </c>
      <c r="I1850" s="35">
        <f>F1850/F1853</f>
        <v>0.3428233990382919</v>
      </c>
    </row>
    <row r="1851" spans="1:9" s="17" customFormat="1" ht="16.5" customHeight="1" x14ac:dyDescent="0.2">
      <c r="A1851" s="84">
        <v>56000</v>
      </c>
      <c r="B1851" s="678" t="s">
        <v>472</v>
      </c>
      <c r="C1851" s="679"/>
      <c r="D1851" s="107">
        <f t="shared" ref="D1851:F1852" si="105">D289</f>
        <v>73212.2</v>
      </c>
      <c r="E1851" s="107">
        <f t="shared" si="105"/>
        <v>0</v>
      </c>
      <c r="F1851" s="107">
        <f t="shared" si="105"/>
        <v>40408.81</v>
      </c>
      <c r="G1851" s="33">
        <f t="shared" si="102"/>
        <v>0.55194093334171079</v>
      </c>
      <c r="H1851" s="34" t="e">
        <f t="shared" si="103"/>
        <v>#DIV/0!</v>
      </c>
      <c r="I1851" s="35">
        <f>F1851/F1853</f>
        <v>0.65717660096170816</v>
      </c>
    </row>
    <row r="1852" spans="1:9" s="17" customFormat="1" ht="16.5" customHeight="1" x14ac:dyDescent="0.2">
      <c r="A1852" s="84"/>
      <c r="B1852" s="678" t="s">
        <v>123</v>
      </c>
      <c r="C1852" s="679"/>
      <c r="D1852" s="107">
        <f t="shared" si="105"/>
        <v>73212.2</v>
      </c>
      <c r="E1852" s="107">
        <f t="shared" si="105"/>
        <v>0</v>
      </c>
      <c r="F1852" s="107">
        <f t="shared" si="105"/>
        <v>40408.81</v>
      </c>
      <c r="G1852" s="33">
        <f t="shared" si="102"/>
        <v>0.55194093334171079</v>
      </c>
      <c r="H1852" s="34" t="e">
        <f t="shared" si="103"/>
        <v>#DIV/0!</v>
      </c>
      <c r="I1852" s="35">
        <f>F1852/F1853</f>
        <v>0.65717660096170816</v>
      </c>
    </row>
    <row r="1853" spans="1:9" s="17" customFormat="1" ht="16.5" customHeight="1" x14ac:dyDescent="0.2">
      <c r="A1853" s="168"/>
      <c r="B1853" s="625" t="s">
        <v>331</v>
      </c>
      <c r="C1853" s="626"/>
      <c r="D1853" s="513">
        <f>D1850+D1851</f>
        <v>90471.459999999992</v>
      </c>
      <c r="E1853" s="513">
        <f>E1850+E1852</f>
        <v>11897.6</v>
      </c>
      <c r="F1853" s="513">
        <f>F1850+F1852</f>
        <v>61488.509999999995</v>
      </c>
      <c r="G1853" s="170">
        <f t="shared" si="102"/>
        <v>0.6796453820906615</v>
      </c>
      <c r="H1853" s="155">
        <f t="shared" si="103"/>
        <v>5.1681439954276485</v>
      </c>
      <c r="I1853" s="155">
        <f>I1850+I1852</f>
        <v>1</v>
      </c>
    </row>
    <row r="1854" spans="1:9" s="17" customFormat="1" ht="16.5" customHeight="1" x14ac:dyDescent="0.2">
      <c r="A1854" s="201"/>
      <c r="B1854" s="310"/>
      <c r="C1854" s="310"/>
      <c r="D1854" s="311"/>
      <c r="E1854" s="293"/>
      <c r="F1854" s="188"/>
      <c r="G1854" s="294"/>
      <c r="H1854" s="189"/>
      <c r="I1854" s="280"/>
    </row>
    <row r="1855" spans="1:9" s="17" customFormat="1" ht="16.5" customHeight="1" x14ac:dyDescent="0.2">
      <c r="A1855" s="623" t="s">
        <v>839</v>
      </c>
      <c r="B1855" s="623"/>
      <c r="C1855" s="623"/>
      <c r="D1855" s="623"/>
      <c r="E1855" s="623"/>
      <c r="F1855" s="623"/>
      <c r="G1855" s="623"/>
      <c r="H1855" s="623"/>
      <c r="I1855" s="623"/>
    </row>
    <row r="1856" spans="1:9" s="17" customFormat="1" ht="16.5" customHeight="1" x14ac:dyDescent="0.2">
      <c r="A1856" s="623" t="s">
        <v>840</v>
      </c>
      <c r="B1856" s="623"/>
      <c r="C1856" s="623"/>
      <c r="D1856" s="623"/>
      <c r="E1856" s="623"/>
      <c r="F1856" s="623"/>
      <c r="G1856" s="623"/>
      <c r="H1856" s="623"/>
      <c r="I1856" s="623"/>
    </row>
    <row r="1857" spans="1:9" s="17" customFormat="1" ht="12" customHeight="1" x14ac:dyDescent="0.2">
      <c r="A1857" s="303"/>
      <c r="B1857" s="623" t="s">
        <v>533</v>
      </c>
      <c r="C1857" s="623"/>
      <c r="D1857" s="623"/>
      <c r="E1857" s="623"/>
      <c r="F1857" s="623"/>
      <c r="G1857" s="623"/>
      <c r="H1857" s="623"/>
      <c r="I1857" s="623"/>
    </row>
    <row r="1858" spans="1:9" s="17" customFormat="1" ht="16.5" customHeight="1" x14ac:dyDescent="0.2">
      <c r="A1858" s="303"/>
      <c r="B1858" s="623" t="s">
        <v>841</v>
      </c>
      <c r="C1858" s="623"/>
      <c r="D1858" s="623"/>
      <c r="E1858" s="623"/>
      <c r="F1858" s="623"/>
      <c r="G1858" s="623"/>
      <c r="H1858" s="623"/>
      <c r="I1858" s="623"/>
    </row>
    <row r="1859" spans="1:9" s="17" customFormat="1" ht="16.5" customHeight="1" x14ac:dyDescent="0.2">
      <c r="A1859" s="623" t="s">
        <v>842</v>
      </c>
      <c r="B1859" s="623"/>
      <c r="C1859" s="623"/>
      <c r="D1859" s="623"/>
      <c r="E1859" s="623"/>
      <c r="F1859" s="623"/>
      <c r="G1859" s="623"/>
      <c r="H1859" s="623"/>
      <c r="I1859" s="623"/>
    </row>
    <row r="1860" spans="1:9" s="17" customFormat="1" ht="16.5" customHeight="1" x14ac:dyDescent="0.2">
      <c r="A1860" s="303"/>
      <c r="B1860" s="158" t="s">
        <v>844</v>
      </c>
      <c r="C1860" s="303"/>
      <c r="D1860" s="303"/>
      <c r="E1860" s="303"/>
      <c r="F1860" s="303"/>
      <c r="G1860" s="303"/>
      <c r="H1860" s="303"/>
      <c r="I1860" s="303"/>
    </row>
    <row r="1861" spans="1:9" s="17" customFormat="1" ht="16.5" customHeight="1" x14ac:dyDescent="0.2">
      <c r="A1861" s="158" t="s">
        <v>843</v>
      </c>
      <c r="B1861" s="303"/>
      <c r="C1861" s="303"/>
      <c r="D1861" s="303"/>
      <c r="E1861" s="303"/>
      <c r="F1861" s="303"/>
      <c r="G1861" s="303"/>
      <c r="H1861" s="303"/>
      <c r="I1861" s="447"/>
    </row>
    <row r="1862" spans="1:9" s="17" customFormat="1" ht="16.5" customHeight="1" x14ac:dyDescent="0.2">
      <c r="A1862" s="624" t="s">
        <v>482</v>
      </c>
      <c r="B1862" s="624"/>
      <c r="C1862" s="624"/>
      <c r="D1862" s="624"/>
      <c r="E1862" s="624"/>
      <c r="F1862" s="624"/>
      <c r="G1862" s="624"/>
      <c r="H1862" s="624"/>
      <c r="I1862" s="280"/>
    </row>
    <row r="1863" spans="1:9" s="17" customFormat="1" ht="16.5" customHeight="1" x14ac:dyDescent="0.2">
      <c r="A1863" s="145"/>
      <c r="B1863" s="145"/>
      <c r="C1863" s="145"/>
      <c r="D1863" s="145"/>
      <c r="E1863" s="605" t="s">
        <v>84</v>
      </c>
      <c r="F1863" s="145"/>
      <c r="G1863" s="145"/>
      <c r="H1863" s="145"/>
      <c r="I1863" s="145"/>
    </row>
    <row r="1864" spans="1:9" s="17" customFormat="1" ht="12" customHeight="1" x14ac:dyDescent="0.2">
      <c r="A1864" s="224"/>
      <c r="B1864" s="247"/>
      <c r="C1864" s="15"/>
      <c r="D1864" s="156"/>
      <c r="E1864" s="605"/>
      <c r="F1864" s="156"/>
      <c r="G1864" s="224"/>
      <c r="H1864" s="156"/>
      <c r="I1864" s="156"/>
    </row>
    <row r="1865" spans="1:9" s="17" customFormat="1" ht="16.5" customHeight="1" x14ac:dyDescent="0.2">
      <c r="A1865" s="192" t="s">
        <v>48</v>
      </c>
      <c r="B1865" s="615" t="s">
        <v>49</v>
      </c>
      <c r="C1865" s="616"/>
      <c r="D1865" s="411" t="s">
        <v>85</v>
      </c>
      <c r="E1865" s="409" t="s">
        <v>152</v>
      </c>
      <c r="F1865" s="42" t="s">
        <v>86</v>
      </c>
      <c r="G1865" s="619" t="s">
        <v>52</v>
      </c>
      <c r="H1865" s="620"/>
      <c r="I1865" s="613" t="s">
        <v>53</v>
      </c>
    </row>
    <row r="1866" spans="1:9" s="17" customFormat="1" ht="12" customHeight="1" x14ac:dyDescent="0.2">
      <c r="A1866" s="193" t="s">
        <v>87</v>
      </c>
      <c r="B1866" s="617"/>
      <c r="C1866" s="618"/>
      <c r="D1866" s="412" t="s">
        <v>537</v>
      </c>
      <c r="E1866" s="44" t="s">
        <v>571</v>
      </c>
      <c r="F1866" s="44" t="s">
        <v>571</v>
      </c>
      <c r="G1866" s="29" t="s">
        <v>55</v>
      </c>
      <c r="H1866" s="29" t="s">
        <v>56</v>
      </c>
      <c r="I1866" s="614"/>
    </row>
    <row r="1867" spans="1:9" s="17" customFormat="1" ht="12" customHeight="1" x14ac:dyDescent="0.2">
      <c r="A1867" s="164">
        <v>1</v>
      </c>
      <c r="B1867" s="717">
        <v>2</v>
      </c>
      <c r="C1867" s="718"/>
      <c r="D1867" s="163">
        <v>3</v>
      </c>
      <c r="E1867" s="147">
        <v>4</v>
      </c>
      <c r="F1867" s="147">
        <v>5</v>
      </c>
      <c r="G1867" s="147">
        <v>6</v>
      </c>
      <c r="H1867" s="147">
        <v>7</v>
      </c>
      <c r="I1867" s="164">
        <v>8</v>
      </c>
    </row>
    <row r="1868" spans="1:9" s="17" customFormat="1" ht="16.5" customHeight="1" x14ac:dyDescent="0.2">
      <c r="A1868" s="86">
        <v>111</v>
      </c>
      <c r="B1868" s="601" t="s">
        <v>184</v>
      </c>
      <c r="C1868" s="602"/>
      <c r="D1868" s="326">
        <f>D627</f>
        <v>143982.79</v>
      </c>
      <c r="E1868" s="326">
        <f>E627</f>
        <v>148724.04999999999</v>
      </c>
      <c r="F1868" s="326">
        <f>F627</f>
        <v>148724.04999999999</v>
      </c>
      <c r="G1868" s="91">
        <f t="shared" ref="G1868:G1873" si="106">F1868/D1868</f>
        <v>1.0329293521816043</v>
      </c>
      <c r="H1868" s="92">
        <f t="shared" ref="H1868:H1873" si="107">F1868/E1868</f>
        <v>1</v>
      </c>
      <c r="I1868" s="92">
        <f>F1868/F1873</f>
        <v>0.15289148978275338</v>
      </c>
    </row>
    <row r="1869" spans="1:9" s="17" customFormat="1" ht="16.5" customHeight="1" x14ac:dyDescent="0.2">
      <c r="A1869" s="86">
        <v>130</v>
      </c>
      <c r="B1869" s="601" t="s">
        <v>185</v>
      </c>
      <c r="C1869" s="602"/>
      <c r="D1869" s="326">
        <f>D848</f>
        <v>15971.95</v>
      </c>
      <c r="E1869" s="326">
        <f>E848</f>
        <v>69000</v>
      </c>
      <c r="F1869" s="326">
        <f>F848</f>
        <v>51033.48</v>
      </c>
      <c r="G1869" s="91">
        <f t="shared" si="106"/>
        <v>3.1951940746120542</v>
      </c>
      <c r="H1869" s="92">
        <f t="shared" si="107"/>
        <v>0.73961565217391312</v>
      </c>
      <c r="I1869" s="92">
        <f>F1869/F1873</f>
        <v>5.2463503959166997E-2</v>
      </c>
    </row>
    <row r="1870" spans="1:9" s="17" customFormat="1" ht="16.5" customHeight="1" x14ac:dyDescent="0.2">
      <c r="A1870" s="86">
        <v>132</v>
      </c>
      <c r="B1870" s="601" t="s">
        <v>186</v>
      </c>
      <c r="C1870" s="602"/>
      <c r="D1870" s="326">
        <f>D960</f>
        <v>0</v>
      </c>
      <c r="E1870" s="326">
        <f>E960</f>
        <v>0</v>
      </c>
      <c r="F1870" s="326">
        <f>F960</f>
        <v>0</v>
      </c>
      <c r="G1870" s="91" t="e">
        <f t="shared" si="106"/>
        <v>#DIV/0!</v>
      </c>
      <c r="H1870" s="92" t="e">
        <f t="shared" si="107"/>
        <v>#DIV/0!</v>
      </c>
      <c r="I1870" s="92">
        <f>F1871/F1873</f>
        <v>0.2469535154473049</v>
      </c>
    </row>
    <row r="1871" spans="1:9" s="17" customFormat="1" ht="16.5" customHeight="1" x14ac:dyDescent="0.2">
      <c r="A1871" s="86">
        <v>200</v>
      </c>
      <c r="B1871" s="601" t="s">
        <v>187</v>
      </c>
      <c r="C1871" s="602"/>
      <c r="D1871" s="326">
        <f>D1073</f>
        <v>278549.11</v>
      </c>
      <c r="E1871" s="326">
        <f>E1073</f>
        <v>245418.31</v>
      </c>
      <c r="F1871" s="326">
        <f>F1073</f>
        <v>240222.18</v>
      </c>
      <c r="G1871" s="91">
        <f t="shared" si="106"/>
        <v>0.8624051248988015</v>
      </c>
      <c r="H1871" s="92">
        <f t="shared" si="107"/>
        <v>0.97882745586504938</v>
      </c>
      <c r="I1871" s="92">
        <f>F1871/F1873</f>
        <v>0.2469535154473049</v>
      </c>
    </row>
    <row r="1872" spans="1:9" s="17" customFormat="1" ht="16.5" customHeight="1" x14ac:dyDescent="0.2">
      <c r="A1872" s="86">
        <v>300</v>
      </c>
      <c r="B1872" s="601" t="s">
        <v>188</v>
      </c>
      <c r="C1872" s="602"/>
      <c r="D1872" s="326">
        <f>D1182</f>
        <v>1084008.1200000001</v>
      </c>
      <c r="E1872" s="326">
        <f>E1182</f>
        <v>542500.26</v>
      </c>
      <c r="F1872" s="326">
        <f>F1182</f>
        <v>532762.79</v>
      </c>
      <c r="G1872" s="91">
        <f t="shared" si="106"/>
        <v>0.49147490703298419</v>
      </c>
      <c r="H1872" s="92">
        <f t="shared" si="107"/>
        <v>0.9820507551461819</v>
      </c>
      <c r="I1872" s="92">
        <f>F1872/F1873</f>
        <v>0.54769149081077473</v>
      </c>
    </row>
    <row r="1873" spans="1:10" s="17" customFormat="1" ht="16.5" customHeight="1" x14ac:dyDescent="0.2">
      <c r="A1873" s="168"/>
      <c r="B1873" s="625" t="s">
        <v>83</v>
      </c>
      <c r="C1873" s="626"/>
      <c r="D1873" s="508">
        <f>D1868+D1869+D1870+D1871+D1872</f>
        <v>1522511.9700000002</v>
      </c>
      <c r="E1873" s="508">
        <f t="shared" ref="E1873" si="108">E1868+E1869+E1870+E1871+E1872</f>
        <v>1005642.62</v>
      </c>
      <c r="F1873" s="508">
        <f>F1868+F1869+F1870+F1871+F1872</f>
        <v>972742.5</v>
      </c>
      <c r="G1873" s="327">
        <f t="shared" si="106"/>
        <v>0.63890630692381345</v>
      </c>
      <c r="H1873" s="52">
        <f t="shared" si="107"/>
        <v>0.96728448124046296</v>
      </c>
      <c r="I1873" s="140">
        <f>SUM(I1868:I1872)</f>
        <v>1.2469535154473048</v>
      </c>
    </row>
    <row r="1874" spans="1:10" s="17" customFormat="1" ht="16.5" customHeight="1" x14ac:dyDescent="0.2">
      <c r="A1874" s="264"/>
      <c r="B1874" s="627" t="s">
        <v>1004</v>
      </c>
      <c r="C1874" s="627"/>
      <c r="D1874" s="627"/>
      <c r="E1874" s="627"/>
      <c r="F1874" s="627"/>
      <c r="G1874" s="627"/>
      <c r="H1874" s="627"/>
      <c r="I1874" s="627"/>
    </row>
    <row r="1875" spans="1:10" s="17" customFormat="1" ht="16.5" customHeight="1" x14ac:dyDescent="0.2">
      <c r="A1875" s="627" t="s">
        <v>1005</v>
      </c>
      <c r="B1875" s="627"/>
      <c r="C1875" s="627"/>
      <c r="D1875" s="627"/>
      <c r="E1875" s="627"/>
      <c r="F1875" s="627"/>
      <c r="G1875" s="627"/>
      <c r="H1875" s="627"/>
      <c r="I1875" s="627"/>
    </row>
    <row r="1876" spans="1:10" s="17" customFormat="1" ht="16.5" customHeight="1" x14ac:dyDescent="0.2">
      <c r="A1876" s="621" t="s">
        <v>845</v>
      </c>
      <c r="B1876" s="621"/>
      <c r="C1876" s="621"/>
      <c r="D1876" s="621"/>
      <c r="E1876" s="621"/>
      <c r="F1876" s="621"/>
      <c r="G1876" s="621"/>
      <c r="H1876" s="621"/>
      <c r="I1876" s="621"/>
    </row>
    <row r="1877" spans="1:10" s="17" customFormat="1" ht="16.5" customHeight="1" x14ac:dyDescent="0.2">
      <c r="A1877" s="621" t="s">
        <v>846</v>
      </c>
      <c r="B1877" s="621"/>
      <c r="C1877" s="621"/>
      <c r="D1877" s="621"/>
      <c r="E1877" s="621"/>
      <c r="F1877" s="621"/>
      <c r="G1877" s="621"/>
      <c r="H1877" s="621"/>
      <c r="I1877" s="621"/>
    </row>
    <row r="1878" spans="1:10" s="17" customFormat="1" ht="16.5" customHeight="1" x14ac:dyDescent="0.2">
      <c r="A1878" s="621" t="s">
        <v>847</v>
      </c>
      <c r="B1878" s="621"/>
      <c r="C1878" s="621"/>
      <c r="D1878" s="621"/>
      <c r="E1878" s="621"/>
      <c r="F1878" s="621"/>
      <c r="G1878" s="621"/>
      <c r="H1878" s="621"/>
      <c r="I1878" s="621"/>
    </row>
    <row r="1879" spans="1:10" s="17" customFormat="1" ht="16.5" customHeight="1" x14ac:dyDescent="0.2">
      <c r="A1879" s="621" t="s">
        <v>1006</v>
      </c>
      <c r="B1879" s="621"/>
      <c r="C1879" s="621"/>
      <c r="D1879" s="621"/>
      <c r="E1879" s="621"/>
      <c r="F1879" s="621"/>
      <c r="G1879" s="621"/>
      <c r="H1879" s="621"/>
      <c r="I1879" s="621"/>
    </row>
    <row r="1880" spans="1:10" s="17" customFormat="1" ht="16.5" customHeight="1" x14ac:dyDescent="0.2">
      <c r="A1880" s="621" t="s">
        <v>1007</v>
      </c>
      <c r="B1880" s="621"/>
      <c r="C1880" s="621"/>
      <c r="D1880" s="621"/>
      <c r="E1880" s="621"/>
      <c r="F1880" s="621"/>
      <c r="G1880" s="621"/>
      <c r="H1880" s="621"/>
      <c r="I1880" s="621"/>
    </row>
    <row r="1881" spans="1:10" s="17" customFormat="1" ht="16.5" customHeight="1" x14ac:dyDescent="0.2">
      <c r="A1881" s="622" t="s">
        <v>848</v>
      </c>
      <c r="B1881" s="622"/>
      <c r="C1881" s="622"/>
      <c r="D1881" s="622"/>
      <c r="E1881" s="622"/>
      <c r="F1881" s="622"/>
      <c r="G1881" s="622"/>
      <c r="H1881" s="622"/>
      <c r="I1881" s="622"/>
    </row>
    <row r="1882" spans="1:10" s="17" customFormat="1" ht="16.5" customHeight="1" x14ac:dyDescent="0.2">
      <c r="A1882" s="145"/>
      <c r="B1882" s="621" t="s">
        <v>1008</v>
      </c>
      <c r="C1882" s="621"/>
      <c r="D1882" s="621"/>
      <c r="E1882" s="621"/>
      <c r="F1882" s="621"/>
      <c r="G1882" s="621"/>
      <c r="H1882" s="621"/>
      <c r="I1882" s="621"/>
    </row>
    <row r="1883" spans="1:10" s="17" customFormat="1" ht="16.5" customHeight="1" x14ac:dyDescent="0.2">
      <c r="A1883" s="621" t="s">
        <v>391</v>
      </c>
      <c r="B1883" s="621"/>
      <c r="C1883" s="621"/>
      <c r="D1883" s="621"/>
      <c r="E1883" s="621"/>
      <c r="F1883" s="621"/>
      <c r="G1883" s="621"/>
      <c r="H1883" s="621"/>
      <c r="I1883" s="621"/>
    </row>
    <row r="1884" spans="1:10" s="17" customFormat="1" ht="16.5" customHeight="1" x14ac:dyDescent="0.2">
      <c r="A1884" s="145"/>
      <c r="B1884" s="145"/>
      <c r="C1884" s="145"/>
      <c r="D1884" s="145"/>
      <c r="E1884" s="145"/>
      <c r="F1884" s="145"/>
      <c r="G1884" s="145"/>
      <c r="H1884" s="145"/>
      <c r="I1884" s="145"/>
    </row>
    <row r="1885" spans="1:10" s="17" customFormat="1" ht="16.5" customHeight="1" x14ac:dyDescent="0.2">
      <c r="A1885" s="145"/>
      <c r="B1885" s="145"/>
      <c r="C1885" s="145"/>
      <c r="D1885" s="145"/>
      <c r="E1885" s="145"/>
      <c r="F1885" s="145"/>
      <c r="G1885" s="145"/>
      <c r="H1885" s="145"/>
      <c r="I1885" s="145"/>
    </row>
    <row r="1886" spans="1:10" s="17" customFormat="1" ht="16.5" customHeight="1" x14ac:dyDescent="0.2">
      <c r="A1886" s="145"/>
      <c r="B1886" s="145"/>
      <c r="C1886" s="145"/>
      <c r="D1886" s="145"/>
      <c r="E1886" s="145"/>
      <c r="F1886" s="145"/>
      <c r="G1886" s="145"/>
      <c r="H1886" s="145"/>
      <c r="I1886" s="145"/>
    </row>
    <row r="1887" spans="1:10" s="17" customFormat="1" ht="16.5" customHeight="1" x14ac:dyDescent="0.2">
      <c r="A1887" s="145"/>
      <c r="B1887" s="145"/>
      <c r="C1887" s="145"/>
      <c r="D1887" s="145"/>
      <c r="E1887" s="145"/>
      <c r="F1887" s="145"/>
      <c r="G1887" s="145"/>
      <c r="H1887" s="145"/>
      <c r="I1887" s="257">
        <v>33</v>
      </c>
    </row>
    <row r="1888" spans="1:10" s="17" customFormat="1" ht="16.5" customHeight="1" x14ac:dyDescent="0.2">
      <c r="A1888" s="145"/>
      <c r="B1888" s="145"/>
      <c r="C1888" s="145"/>
      <c r="D1888" s="145"/>
      <c r="E1888" s="145"/>
      <c r="F1888" s="145"/>
      <c r="G1888" s="145"/>
      <c r="H1888" s="145"/>
      <c r="I1888" s="145"/>
      <c r="J1888" s="17" t="s">
        <v>190</v>
      </c>
    </row>
    <row r="1889" spans="1:9" s="17" customFormat="1" ht="16.5" customHeight="1" x14ac:dyDescent="0.2">
      <c r="A1889" s="279"/>
      <c r="B1889" s="635" t="s">
        <v>345</v>
      </c>
      <c r="C1889" s="635"/>
      <c r="D1889" s="635"/>
      <c r="E1889" s="328"/>
      <c r="F1889" s="329"/>
      <c r="G1889" s="20"/>
      <c r="H1889" s="297"/>
      <c r="I1889" s="280"/>
    </row>
    <row r="1890" spans="1:9" s="17" customFormat="1" ht="16.5" customHeight="1" x14ac:dyDescent="0.2">
      <c r="A1890" s="21"/>
      <c r="B1890" s="603" t="s">
        <v>849</v>
      </c>
      <c r="C1890" s="603"/>
      <c r="D1890" s="603"/>
      <c r="E1890" s="603"/>
      <c r="F1890" s="603"/>
      <c r="G1890" s="603"/>
      <c r="H1890" s="603"/>
      <c r="I1890" s="603"/>
    </row>
    <row r="1891" spans="1:9" s="17" customFormat="1" ht="16.5" customHeight="1" x14ac:dyDescent="0.2">
      <c r="A1891" s="603" t="s">
        <v>392</v>
      </c>
      <c r="B1891" s="603"/>
      <c r="C1891" s="603"/>
      <c r="D1891" s="603"/>
      <c r="E1891" s="603"/>
      <c r="F1891" s="603"/>
      <c r="G1891" s="603"/>
      <c r="H1891" s="603"/>
      <c r="I1891" s="603"/>
    </row>
    <row r="1892" spans="1:9" s="17" customFormat="1" ht="20.25" customHeight="1" x14ac:dyDescent="0.2">
      <c r="A1892" s="603" t="s">
        <v>850</v>
      </c>
      <c r="B1892" s="603"/>
      <c r="C1892" s="603"/>
      <c r="D1892" s="603"/>
      <c r="E1892" s="603"/>
      <c r="F1892" s="603"/>
      <c r="G1892" s="603"/>
      <c r="H1892" s="603"/>
      <c r="I1892" s="603"/>
    </row>
    <row r="1893" spans="1:9" s="17" customFormat="1" ht="16.5" customHeight="1" x14ac:dyDescent="0.2">
      <c r="A1893" s="21" t="s">
        <v>346</v>
      </c>
      <c r="B1893" s="603" t="s">
        <v>327</v>
      </c>
      <c r="C1893" s="603"/>
      <c r="D1893" s="603"/>
      <c r="E1893" s="603"/>
      <c r="F1893" s="603"/>
      <c r="G1893" s="603"/>
      <c r="H1893" s="603"/>
      <c r="I1893" s="603"/>
    </row>
    <row r="1894" spans="1:9" s="17" customFormat="1" ht="16.5" customHeight="1" x14ac:dyDescent="0.2">
      <c r="A1894" s="145"/>
      <c r="B1894" s="145"/>
      <c r="C1894" s="145"/>
      <c r="D1894" s="145"/>
      <c r="E1894" s="605" t="s">
        <v>84</v>
      </c>
      <c r="F1894" s="145"/>
      <c r="G1894" s="145"/>
      <c r="H1894" s="145"/>
      <c r="I1894" s="145"/>
    </row>
    <row r="1895" spans="1:9" s="17" customFormat="1" ht="16.5" customHeight="1" x14ac:dyDescent="0.2">
      <c r="A1895" s="224"/>
      <c r="B1895" s="247"/>
      <c r="C1895" s="15"/>
      <c r="D1895" s="156"/>
      <c r="E1895" s="606"/>
      <c r="F1895" s="156"/>
      <c r="G1895" s="224"/>
      <c r="H1895" s="156"/>
      <c r="I1895" s="156"/>
    </row>
    <row r="1896" spans="1:9" s="17" customFormat="1" ht="16.5" customHeight="1" x14ac:dyDescent="0.2">
      <c r="A1896" s="192" t="s">
        <v>48</v>
      </c>
      <c r="B1896" s="615" t="s">
        <v>49</v>
      </c>
      <c r="C1896" s="616"/>
      <c r="D1896" s="411" t="s">
        <v>85</v>
      </c>
      <c r="E1896" s="409" t="s">
        <v>320</v>
      </c>
      <c r="F1896" s="42" t="s">
        <v>86</v>
      </c>
      <c r="G1896" s="619" t="s">
        <v>52</v>
      </c>
      <c r="H1896" s="620"/>
      <c r="I1896" s="613" t="s">
        <v>53</v>
      </c>
    </row>
    <row r="1897" spans="1:9" s="17" customFormat="1" ht="16.5" customHeight="1" x14ac:dyDescent="0.2">
      <c r="A1897" s="193" t="s">
        <v>87</v>
      </c>
      <c r="B1897" s="617"/>
      <c r="C1897" s="618"/>
      <c r="D1897" s="412" t="s">
        <v>537</v>
      </c>
      <c r="E1897" s="44" t="s">
        <v>571</v>
      </c>
      <c r="F1897" s="44" t="s">
        <v>571</v>
      </c>
      <c r="G1897" s="29" t="s">
        <v>55</v>
      </c>
      <c r="H1897" s="29" t="s">
        <v>56</v>
      </c>
      <c r="I1897" s="614"/>
    </row>
    <row r="1898" spans="1:9" s="17" customFormat="1" ht="16.5" customHeight="1" x14ac:dyDescent="0.2">
      <c r="A1898" s="164">
        <v>1</v>
      </c>
      <c r="B1898" s="717">
        <v>2</v>
      </c>
      <c r="C1898" s="718"/>
      <c r="D1898" s="163">
        <v>3</v>
      </c>
      <c r="E1898" s="147">
        <v>4</v>
      </c>
      <c r="F1898" s="147">
        <v>5</v>
      </c>
      <c r="G1898" s="147">
        <v>6</v>
      </c>
      <c r="H1898" s="147">
        <v>7</v>
      </c>
      <c r="I1898" s="164">
        <v>8</v>
      </c>
    </row>
    <row r="1899" spans="1:9" s="17" customFormat="1" ht="16.5" customHeight="1" x14ac:dyDescent="0.2">
      <c r="A1899" s="108">
        <v>50017</v>
      </c>
      <c r="B1899" s="676" t="s">
        <v>427</v>
      </c>
      <c r="C1899" s="677"/>
      <c r="D1899" s="80">
        <f t="shared" ref="D1899:F1904" si="109">D292</f>
        <v>0</v>
      </c>
      <c r="E1899" s="80">
        <f t="shared" si="109"/>
        <v>0</v>
      </c>
      <c r="F1899" s="80">
        <f t="shared" si="109"/>
        <v>0</v>
      </c>
      <c r="G1899" s="91" t="e">
        <f t="shared" ref="G1899:G1907" si="110">F1899/D1899</f>
        <v>#DIV/0!</v>
      </c>
      <c r="H1899" s="92" t="e">
        <f t="shared" ref="H1899:H1908" si="111">F1899/E1899</f>
        <v>#DIV/0!</v>
      </c>
      <c r="I1899" s="81">
        <f>F1899/F1905</f>
        <v>0</v>
      </c>
    </row>
    <row r="1900" spans="1:9" s="17" customFormat="1" ht="16.5" customHeight="1" x14ac:dyDescent="0.2">
      <c r="A1900" s="109">
        <v>50019</v>
      </c>
      <c r="B1900" s="676" t="s">
        <v>347</v>
      </c>
      <c r="C1900" s="677"/>
      <c r="D1900" s="80">
        <f t="shared" si="109"/>
        <v>300</v>
      </c>
      <c r="E1900" s="80">
        <f t="shared" si="109"/>
        <v>0</v>
      </c>
      <c r="F1900" s="80">
        <f t="shared" si="109"/>
        <v>0</v>
      </c>
      <c r="G1900" s="91">
        <f t="shared" si="110"/>
        <v>0</v>
      </c>
      <c r="H1900" s="92" t="e">
        <f t="shared" si="111"/>
        <v>#DIV/0!</v>
      </c>
      <c r="I1900" s="81">
        <f>F1900/F1905</f>
        <v>0</v>
      </c>
    </row>
    <row r="1901" spans="1:9" s="17" customFormat="1" ht="16.5" customHeight="1" x14ac:dyDescent="0.2">
      <c r="A1901" s="84">
        <v>50206</v>
      </c>
      <c r="B1901" s="654" t="s">
        <v>126</v>
      </c>
      <c r="C1901" s="655"/>
      <c r="D1901" s="80">
        <f t="shared" si="109"/>
        <v>6200</v>
      </c>
      <c r="E1901" s="80">
        <f t="shared" si="109"/>
        <v>0</v>
      </c>
      <c r="F1901" s="80">
        <f t="shared" si="109"/>
        <v>3350</v>
      </c>
      <c r="G1901" s="91">
        <f t="shared" si="110"/>
        <v>0.54032258064516125</v>
      </c>
      <c r="H1901" s="92" t="e">
        <f t="shared" si="111"/>
        <v>#DIV/0!</v>
      </c>
      <c r="I1901" s="81">
        <f>F1901/F1905</f>
        <v>0.10034446607757976</v>
      </c>
    </row>
    <row r="1902" spans="1:9" s="17" customFormat="1" ht="16.5" customHeight="1" x14ac:dyDescent="0.2">
      <c r="A1902" s="84">
        <v>50208</v>
      </c>
      <c r="B1902" s="654" t="s">
        <v>127</v>
      </c>
      <c r="C1902" s="655"/>
      <c r="D1902" s="80">
        <f t="shared" si="109"/>
        <v>9600</v>
      </c>
      <c r="E1902" s="80">
        <f t="shared" si="109"/>
        <v>5000</v>
      </c>
      <c r="F1902" s="80">
        <f t="shared" si="109"/>
        <v>19985</v>
      </c>
      <c r="G1902" s="91">
        <f t="shared" si="110"/>
        <v>2.0817708333333331</v>
      </c>
      <c r="H1902" s="92">
        <f t="shared" si="111"/>
        <v>3.9969999999999999</v>
      </c>
      <c r="I1902" s="81">
        <f>F1902/F1905</f>
        <v>0.59862213568968103</v>
      </c>
    </row>
    <row r="1903" spans="1:9" s="17" customFormat="1" ht="16.5" customHeight="1" x14ac:dyDescent="0.2">
      <c r="A1903" s="84" t="s">
        <v>128</v>
      </c>
      <c r="B1903" s="654" t="s">
        <v>348</v>
      </c>
      <c r="C1903" s="655"/>
      <c r="D1903" s="80">
        <f t="shared" si="109"/>
        <v>0</v>
      </c>
      <c r="E1903" s="80">
        <f t="shared" si="109"/>
        <v>0</v>
      </c>
      <c r="F1903" s="80">
        <f t="shared" si="109"/>
        <v>0</v>
      </c>
      <c r="G1903" s="91" t="e">
        <f t="shared" si="110"/>
        <v>#DIV/0!</v>
      </c>
      <c r="H1903" s="92" t="e">
        <f t="shared" si="111"/>
        <v>#DIV/0!</v>
      </c>
      <c r="I1903" s="81">
        <f>F1903/F1905</f>
        <v>0</v>
      </c>
    </row>
    <row r="1904" spans="1:9" s="17" customFormat="1" ht="16.5" customHeight="1" x14ac:dyDescent="0.2">
      <c r="A1904" s="86">
        <v>50211</v>
      </c>
      <c r="B1904" s="654" t="s">
        <v>129</v>
      </c>
      <c r="C1904" s="655"/>
      <c r="D1904" s="80">
        <f t="shared" si="109"/>
        <v>25920</v>
      </c>
      <c r="E1904" s="80">
        <f t="shared" si="109"/>
        <v>15000</v>
      </c>
      <c r="F1904" s="80">
        <f t="shared" si="109"/>
        <v>10050</v>
      </c>
      <c r="G1904" s="91">
        <f t="shared" si="110"/>
        <v>0.38773148148148145</v>
      </c>
      <c r="H1904" s="92">
        <f t="shared" si="111"/>
        <v>0.67</v>
      </c>
      <c r="I1904" s="81">
        <f>F1904/F1905</f>
        <v>0.30103339823273928</v>
      </c>
    </row>
    <row r="1905" spans="1:9" s="17" customFormat="1" ht="16.5" customHeight="1" x14ac:dyDescent="0.2">
      <c r="A1905" s="86"/>
      <c r="B1905" s="672" t="s">
        <v>96</v>
      </c>
      <c r="C1905" s="673"/>
      <c r="D1905" s="112">
        <f>D1899+D1900+D1901+D1902+D1903+D1904</f>
        <v>42020</v>
      </c>
      <c r="E1905" s="95">
        <f>E1899+E1900+E1901+E1902+E1903+E1904</f>
        <v>20000</v>
      </c>
      <c r="F1905" s="112">
        <f>F1899+F1900+F1901+F1902+F1903+F1904</f>
        <v>33385</v>
      </c>
      <c r="G1905" s="91">
        <f t="shared" si="110"/>
        <v>0.79450261780104714</v>
      </c>
      <c r="H1905" s="92">
        <f t="shared" si="111"/>
        <v>1.6692499999999999</v>
      </c>
      <c r="I1905" s="81">
        <f>F1905/F1908</f>
        <v>0.13200071850143974</v>
      </c>
    </row>
    <row r="1906" spans="1:9" s="17" customFormat="1" ht="16.5" customHeight="1" x14ac:dyDescent="0.2">
      <c r="A1906" s="162"/>
      <c r="B1906" s="517" t="s">
        <v>521</v>
      </c>
      <c r="C1906" s="506"/>
      <c r="D1906" s="515">
        <f>D1907</f>
        <v>301131.67</v>
      </c>
      <c r="E1906" s="515">
        <f t="shared" ref="E1906:F1906" si="112">E1907</f>
        <v>0</v>
      </c>
      <c r="F1906" s="515">
        <f t="shared" si="112"/>
        <v>219530.29</v>
      </c>
      <c r="G1906" s="91">
        <f t="shared" si="110"/>
        <v>0.72901760880879785</v>
      </c>
      <c r="H1906" s="92" t="e">
        <f t="shared" si="111"/>
        <v>#DIV/0!</v>
      </c>
      <c r="I1906" s="516">
        <f>F1906/F1908</f>
        <v>0.8679992814985602</v>
      </c>
    </row>
    <row r="1907" spans="1:9" s="17" customFormat="1" ht="16.5" customHeight="1" x14ac:dyDescent="0.2">
      <c r="A1907" s="162"/>
      <c r="B1907" s="523" t="s">
        <v>529</v>
      </c>
      <c r="C1907" s="506"/>
      <c r="D1907" s="515">
        <f>D299</f>
        <v>301131.67</v>
      </c>
      <c r="E1907" s="515">
        <f>E299</f>
        <v>0</v>
      </c>
      <c r="F1907" s="515">
        <f>F299</f>
        <v>219530.29</v>
      </c>
      <c r="G1907" s="91">
        <f t="shared" si="110"/>
        <v>0.72901760880879785</v>
      </c>
      <c r="H1907" s="92" t="e">
        <f t="shared" si="111"/>
        <v>#DIV/0!</v>
      </c>
      <c r="I1907" s="516">
        <f>F1907/F1908</f>
        <v>0.8679992814985602</v>
      </c>
    </row>
    <row r="1908" spans="1:9" s="17" customFormat="1" ht="16.5" customHeight="1" x14ac:dyDescent="0.2">
      <c r="A1908" s="261"/>
      <c r="B1908" s="625" t="s">
        <v>349</v>
      </c>
      <c r="C1908" s="626"/>
      <c r="D1908" s="514">
        <f>D1905+D1906</f>
        <v>343151.67</v>
      </c>
      <c r="E1908" s="514">
        <f>E1905+E1906</f>
        <v>20000</v>
      </c>
      <c r="F1908" s="514">
        <f>F1905+F1906</f>
        <v>252915.29</v>
      </c>
      <c r="G1908" s="330">
        <f>F1908/D1908</f>
        <v>0.73703645388058292</v>
      </c>
      <c r="H1908" s="331">
        <f t="shared" si="111"/>
        <v>12.6457645</v>
      </c>
      <c r="I1908" s="332">
        <f>I1899+I1900+I1901+I1902+I1903+I1904</f>
        <v>1</v>
      </c>
    </row>
    <row r="1909" spans="1:9" s="17" customFormat="1" ht="16.5" customHeight="1" x14ac:dyDescent="0.2">
      <c r="A1909" s="760" t="s">
        <v>851</v>
      </c>
      <c r="B1909" s="760"/>
      <c r="C1909" s="760"/>
      <c r="D1909" s="760"/>
      <c r="E1909" s="760"/>
      <c r="F1909" s="760"/>
      <c r="G1909" s="760"/>
      <c r="H1909" s="760"/>
      <c r="I1909" s="760"/>
    </row>
    <row r="1910" spans="1:9" s="17" customFormat="1" ht="16.5" customHeight="1" x14ac:dyDescent="0.2">
      <c r="A1910" s="760" t="s">
        <v>852</v>
      </c>
      <c r="B1910" s="760"/>
      <c r="C1910" s="760"/>
      <c r="D1910" s="760"/>
      <c r="E1910" s="760"/>
      <c r="F1910" s="760"/>
      <c r="G1910" s="760"/>
      <c r="H1910" s="760"/>
      <c r="I1910" s="760"/>
    </row>
    <row r="1911" spans="1:9" s="17" customFormat="1" ht="20.25" customHeight="1" x14ac:dyDescent="0.2">
      <c r="B1911" s="304" t="s">
        <v>495</v>
      </c>
      <c r="C1911" s="304"/>
      <c r="D1911" s="304"/>
      <c r="E1911" s="249"/>
      <c r="F1911" s="249"/>
      <c r="G1911" s="249"/>
      <c r="I1911" s="249"/>
    </row>
    <row r="1912" spans="1:9" s="17" customFormat="1" ht="16.5" customHeight="1" x14ac:dyDescent="0.2">
      <c r="A1912" s="145"/>
      <c r="B1912" s="145"/>
      <c r="C1912" s="145"/>
      <c r="D1912" s="145"/>
      <c r="E1912" s="605" t="s">
        <v>84</v>
      </c>
      <c r="F1912" s="145"/>
      <c r="G1912" s="145"/>
      <c r="H1912" s="145"/>
      <c r="I1912" s="145"/>
    </row>
    <row r="1913" spans="1:9" s="17" customFormat="1" ht="16.5" customHeight="1" x14ac:dyDescent="0.2">
      <c r="A1913" s="224"/>
      <c r="B1913" s="247"/>
      <c r="C1913" s="15"/>
      <c r="D1913" s="156"/>
      <c r="E1913" s="605"/>
      <c r="F1913" s="156"/>
      <c r="G1913" s="224"/>
      <c r="H1913" s="156"/>
      <c r="I1913" s="156"/>
    </row>
    <row r="1914" spans="1:9" s="17" customFormat="1" ht="16.5" customHeight="1" x14ac:dyDescent="0.2">
      <c r="A1914" s="192" t="s">
        <v>48</v>
      </c>
      <c r="B1914" s="615" t="s">
        <v>49</v>
      </c>
      <c r="C1914" s="616"/>
      <c r="D1914" s="411" t="s">
        <v>85</v>
      </c>
      <c r="E1914" s="409" t="s">
        <v>152</v>
      </c>
      <c r="F1914" s="42" t="s">
        <v>86</v>
      </c>
      <c r="G1914" s="619" t="s">
        <v>52</v>
      </c>
      <c r="H1914" s="620"/>
      <c r="I1914" s="613" t="s">
        <v>53</v>
      </c>
    </row>
    <row r="1915" spans="1:9" s="17" customFormat="1" ht="16.5" customHeight="1" x14ac:dyDescent="0.2">
      <c r="A1915" s="193" t="s">
        <v>87</v>
      </c>
      <c r="B1915" s="617"/>
      <c r="C1915" s="618"/>
      <c r="D1915" s="412" t="s">
        <v>537</v>
      </c>
      <c r="E1915" s="44" t="s">
        <v>571</v>
      </c>
      <c r="F1915" s="44" t="s">
        <v>571</v>
      </c>
      <c r="G1915" s="29" t="s">
        <v>55</v>
      </c>
      <c r="H1915" s="29" t="s">
        <v>56</v>
      </c>
      <c r="I1915" s="614"/>
    </row>
    <row r="1916" spans="1:9" s="17" customFormat="1" ht="16.5" customHeight="1" x14ac:dyDescent="0.2">
      <c r="A1916" s="164">
        <v>1</v>
      </c>
      <c r="B1916" s="717">
        <v>2</v>
      </c>
      <c r="C1916" s="718"/>
      <c r="D1916" s="163">
        <v>3</v>
      </c>
      <c r="E1916" s="147">
        <v>4</v>
      </c>
      <c r="F1916" s="147">
        <v>5</v>
      </c>
      <c r="G1916" s="147">
        <v>6</v>
      </c>
      <c r="H1916" s="147">
        <v>7</v>
      </c>
      <c r="I1916" s="164">
        <v>8</v>
      </c>
    </row>
    <row r="1917" spans="1:9" s="17" customFormat="1" ht="16.5" customHeight="1" x14ac:dyDescent="0.2">
      <c r="A1917" s="86">
        <v>111</v>
      </c>
      <c r="B1917" s="601" t="s">
        <v>184</v>
      </c>
      <c r="C1917" s="602"/>
      <c r="D1917" s="6">
        <f>D628</f>
        <v>74257.25</v>
      </c>
      <c r="E1917" s="6">
        <f>E628</f>
        <v>87154.17</v>
      </c>
      <c r="F1917" s="6">
        <f>F628</f>
        <v>87154.15</v>
      </c>
      <c r="G1917" s="91">
        <f t="shared" ref="G1917:G1922" si="113">F1917/D1917</f>
        <v>1.173678664372839</v>
      </c>
      <c r="H1917" s="92">
        <f t="shared" ref="H1917:H1922" si="114">F1917/E1917</f>
        <v>0.99999977052159406</v>
      </c>
      <c r="I1917" s="92">
        <f>F1917/F1922</f>
        <v>0.13072033991729506</v>
      </c>
    </row>
    <row r="1918" spans="1:9" s="17" customFormat="1" ht="16.5" customHeight="1" x14ac:dyDescent="0.2">
      <c r="A1918" s="86">
        <v>130</v>
      </c>
      <c r="B1918" s="601" t="s">
        <v>185</v>
      </c>
      <c r="C1918" s="602"/>
      <c r="D1918" s="110">
        <f>D849</f>
        <v>141766.19</v>
      </c>
      <c r="E1918" s="110">
        <f>E849</f>
        <v>285698.76</v>
      </c>
      <c r="F1918" s="110">
        <f>F849</f>
        <v>274485.89</v>
      </c>
      <c r="G1918" s="91">
        <f t="shared" si="113"/>
        <v>1.9361872531102091</v>
      </c>
      <c r="H1918" s="92">
        <f t="shared" si="114"/>
        <v>0.96075282230836423</v>
      </c>
      <c r="I1918" s="92">
        <f>F1918/F1922</f>
        <v>0.4116945531945555</v>
      </c>
    </row>
    <row r="1919" spans="1:9" s="17" customFormat="1" ht="16.5" customHeight="1" x14ac:dyDescent="0.2">
      <c r="A1919" s="86">
        <v>132</v>
      </c>
      <c r="B1919" s="601" t="s">
        <v>186</v>
      </c>
      <c r="C1919" s="602"/>
      <c r="D1919" s="6">
        <f>D961</f>
        <v>0</v>
      </c>
      <c r="E1919" s="6">
        <f>E961</f>
        <v>0</v>
      </c>
      <c r="F1919" s="6">
        <f>F961</f>
        <v>0</v>
      </c>
      <c r="G1919" s="91" t="e">
        <f t="shared" si="113"/>
        <v>#DIV/0!</v>
      </c>
      <c r="H1919" s="92" t="e">
        <f t="shared" si="114"/>
        <v>#DIV/0!</v>
      </c>
      <c r="I1919" s="92">
        <f>F1919/F1922</f>
        <v>0</v>
      </c>
    </row>
    <row r="1920" spans="1:9" s="17" customFormat="1" ht="16.5" customHeight="1" x14ac:dyDescent="0.2">
      <c r="A1920" s="86">
        <v>200</v>
      </c>
      <c r="B1920" s="601" t="s">
        <v>187</v>
      </c>
      <c r="C1920" s="602"/>
      <c r="D1920" s="6">
        <f>D1074</f>
        <v>0</v>
      </c>
      <c r="E1920" s="6">
        <f>E1074</f>
        <v>100000</v>
      </c>
      <c r="F1920" s="6">
        <f>F1074</f>
        <v>99492.14</v>
      </c>
      <c r="G1920" s="91" t="e">
        <f t="shared" si="113"/>
        <v>#DIV/0!</v>
      </c>
      <c r="H1920" s="92">
        <f t="shared" si="114"/>
        <v>0.99492139999999996</v>
      </c>
      <c r="I1920" s="92">
        <f>F1920/F1922</f>
        <v>0.14922578396896888</v>
      </c>
    </row>
    <row r="1921" spans="1:9" s="17" customFormat="1" ht="16.5" customHeight="1" x14ac:dyDescent="0.2">
      <c r="A1921" s="86">
        <v>300</v>
      </c>
      <c r="B1921" s="601" t="s">
        <v>188</v>
      </c>
      <c r="C1921" s="602"/>
      <c r="D1921" s="6">
        <f>D1183</f>
        <v>271784</v>
      </c>
      <c r="E1921" s="6">
        <f>E1183</f>
        <v>205990</v>
      </c>
      <c r="F1921" s="6">
        <f>F1183</f>
        <v>205590</v>
      </c>
      <c r="G1921" s="91">
        <f t="shared" si="113"/>
        <v>0.75644629558767251</v>
      </c>
      <c r="H1921" s="92">
        <f t="shared" si="114"/>
        <v>0.99805815816301757</v>
      </c>
      <c r="I1921" s="92">
        <f>F1921/F1922</f>
        <v>0.3083593229191805</v>
      </c>
    </row>
    <row r="1922" spans="1:9" s="17" customFormat="1" ht="16.5" customHeight="1" x14ac:dyDescent="0.2">
      <c r="A1922" s="168"/>
      <c r="B1922" s="625" t="s">
        <v>83</v>
      </c>
      <c r="C1922" s="626"/>
      <c r="D1922" s="508">
        <f>D1917+D1918+D1919+D1920+D1921</f>
        <v>487807.44</v>
      </c>
      <c r="E1922" s="508">
        <f t="shared" ref="E1922" si="115">E1917+E1918+E1919+E1920+E1921</f>
        <v>678842.92999999993</v>
      </c>
      <c r="F1922" s="508">
        <f>F1917+F1918+F1919+F1920+F1921</f>
        <v>666722.18000000005</v>
      </c>
      <c r="G1922" s="200">
        <f t="shared" si="113"/>
        <v>1.3667732907066774</v>
      </c>
      <c r="H1922" s="155">
        <f t="shared" si="114"/>
        <v>0.98214498602791678</v>
      </c>
      <c r="I1922" s="206">
        <f>SUM(I1917:I1921)</f>
        <v>1</v>
      </c>
    </row>
    <row r="1923" spans="1:9" s="17" customFormat="1" ht="16.5" customHeight="1" x14ac:dyDescent="0.2">
      <c r="A1923" s="18"/>
      <c r="B1923" s="279"/>
      <c r="C1923" s="279"/>
      <c r="D1923" s="279"/>
      <c r="E1923" s="18"/>
      <c r="F1923" s="18"/>
      <c r="G1923" s="18"/>
      <c r="H1923" s="18"/>
      <c r="I1923" s="312"/>
    </row>
    <row r="1924" spans="1:9" s="17" customFormat="1" ht="16.5" customHeight="1" x14ac:dyDescent="0.2">
      <c r="A1924" s="21"/>
      <c r="B1924" s="627" t="s">
        <v>1085</v>
      </c>
      <c r="C1924" s="627"/>
      <c r="D1924" s="627"/>
      <c r="E1924" s="627"/>
      <c r="F1924" s="627"/>
      <c r="G1924" s="627"/>
      <c r="H1924" s="627"/>
      <c r="I1924" s="627"/>
    </row>
    <row r="1925" spans="1:9" s="17" customFormat="1" ht="18.75" customHeight="1" x14ac:dyDescent="0.2">
      <c r="A1925" s="627" t="s">
        <v>1086</v>
      </c>
      <c r="B1925" s="627"/>
      <c r="C1925" s="627"/>
      <c r="D1925" s="627"/>
      <c r="E1925" s="627"/>
      <c r="F1925" s="627"/>
      <c r="G1925" s="627"/>
      <c r="H1925" s="627"/>
      <c r="I1925" s="627"/>
    </row>
    <row r="1926" spans="1:9" s="17" customFormat="1" ht="16.5" customHeight="1" x14ac:dyDescent="0.2">
      <c r="A1926" s="156" t="s">
        <v>853</v>
      </c>
      <c r="B1926" s="156"/>
      <c r="C1926" s="156"/>
      <c r="D1926" s="156"/>
      <c r="E1926" s="156"/>
      <c r="F1926" s="156"/>
      <c r="G1926" s="156"/>
      <c r="H1926" s="156"/>
      <c r="I1926" s="156"/>
    </row>
    <row r="1927" spans="1:9" s="17" customFormat="1" ht="16.5" customHeight="1" x14ac:dyDescent="0.2">
      <c r="A1927" s="621" t="s">
        <v>854</v>
      </c>
      <c r="B1927" s="621"/>
      <c r="C1927" s="621"/>
      <c r="D1927" s="621"/>
      <c r="E1927" s="621"/>
      <c r="F1927" s="621"/>
      <c r="G1927" s="621"/>
      <c r="H1927" s="621"/>
      <c r="I1927" s="621"/>
    </row>
    <row r="1928" spans="1:9" s="17" customFormat="1" ht="16.5" customHeight="1" x14ac:dyDescent="0.2">
      <c r="A1928" s="621" t="s">
        <v>1087</v>
      </c>
      <c r="B1928" s="621"/>
      <c r="C1928" s="621"/>
      <c r="D1928" s="621"/>
      <c r="E1928" s="621"/>
      <c r="F1928" s="621"/>
      <c r="G1928" s="621"/>
      <c r="H1928" s="621"/>
      <c r="I1928" s="621"/>
    </row>
    <row r="1929" spans="1:9" s="17" customFormat="1" ht="16.5" customHeight="1" x14ac:dyDescent="0.2">
      <c r="A1929" s="621" t="s">
        <v>855</v>
      </c>
      <c r="B1929" s="621"/>
      <c r="C1929" s="621"/>
      <c r="D1929" s="621"/>
      <c r="E1929" s="621"/>
      <c r="F1929" s="621"/>
      <c r="G1929" s="621"/>
      <c r="H1929" s="621"/>
      <c r="I1929" s="621"/>
    </row>
    <row r="1930" spans="1:9" s="17" customFormat="1" ht="16.5" customHeight="1" x14ac:dyDescent="0.2">
      <c r="A1930" s="145"/>
      <c r="B1930" s="145" t="s">
        <v>1088</v>
      </c>
      <c r="C1930" s="145"/>
      <c r="D1930" s="145"/>
      <c r="E1930" s="145"/>
      <c r="F1930" s="145"/>
      <c r="G1930" s="145"/>
      <c r="H1930" s="145"/>
      <c r="I1930" s="145"/>
    </row>
    <row r="1931" spans="1:9" s="17" customFormat="1" ht="16.5" customHeight="1" x14ac:dyDescent="0.2">
      <c r="A1931" s="145"/>
      <c r="B1931" s="145" t="s">
        <v>856</v>
      </c>
      <c r="C1931" s="145"/>
      <c r="D1931" s="145"/>
      <c r="E1931" s="145"/>
      <c r="F1931" s="145"/>
      <c r="G1931" s="145"/>
      <c r="H1931" s="145"/>
      <c r="I1931" s="145"/>
    </row>
    <row r="1932" spans="1:9" s="17" customFormat="1" ht="16.5" customHeight="1" x14ac:dyDescent="0.2">
      <c r="A1932" s="603" t="s">
        <v>1089</v>
      </c>
      <c r="B1932" s="603"/>
      <c r="C1932" s="603"/>
      <c r="D1932" s="603"/>
      <c r="E1932" s="603"/>
      <c r="F1932" s="603"/>
      <c r="G1932" s="603"/>
      <c r="H1932" s="603"/>
      <c r="I1932" s="603"/>
    </row>
    <row r="1933" spans="1:9" s="17" customFormat="1" ht="16.5" customHeight="1" x14ac:dyDescent="0.2">
      <c r="A1933" s="603" t="s">
        <v>1090</v>
      </c>
      <c r="B1933" s="603"/>
      <c r="C1933" s="603"/>
      <c r="D1933" s="603"/>
      <c r="E1933" s="603"/>
      <c r="F1933" s="603"/>
      <c r="G1933" s="603"/>
      <c r="H1933" s="603"/>
      <c r="I1933" s="603"/>
    </row>
    <row r="1934" spans="1:9" s="17" customFormat="1" ht="16.5" customHeight="1" x14ac:dyDescent="0.2">
      <c r="A1934" s="21"/>
      <c r="B1934" s="21"/>
      <c r="C1934" s="21"/>
      <c r="D1934" s="21"/>
      <c r="E1934" s="21"/>
      <c r="F1934" s="21"/>
      <c r="G1934" s="21"/>
      <c r="H1934" s="21"/>
      <c r="I1934" s="21"/>
    </row>
    <row r="1935" spans="1:9" s="17" customFormat="1" ht="16.5" customHeight="1" x14ac:dyDescent="0.2">
      <c r="A1935" s="21"/>
      <c r="B1935" s="21"/>
      <c r="C1935" s="21"/>
      <c r="D1935" s="21"/>
      <c r="E1935" s="21"/>
      <c r="F1935" s="21"/>
      <c r="G1935" s="21"/>
      <c r="H1935" s="21"/>
      <c r="I1935" s="21"/>
    </row>
    <row r="1936" spans="1:9" s="17" customFormat="1" ht="16.5" customHeight="1" x14ac:dyDescent="0.2">
      <c r="A1936" s="21"/>
      <c r="B1936" s="21"/>
      <c r="C1936" s="21"/>
      <c r="D1936" s="21"/>
      <c r="E1936" s="21"/>
      <c r="F1936" s="21"/>
      <c r="G1936" s="21"/>
      <c r="H1936" s="21"/>
      <c r="I1936" s="21"/>
    </row>
    <row r="1937" spans="1:9" s="17" customFormat="1" ht="16.5" customHeight="1" x14ac:dyDescent="0.2">
      <c r="A1937" s="21"/>
      <c r="B1937" s="21"/>
      <c r="C1937" s="21"/>
      <c r="D1937" s="21"/>
      <c r="E1937" s="21"/>
      <c r="F1937" s="21"/>
      <c r="G1937" s="21"/>
      <c r="H1937" s="21"/>
      <c r="I1937" s="21"/>
    </row>
    <row r="1938" spans="1:9" s="17" customFormat="1" ht="16.5" customHeight="1" x14ac:dyDescent="0.2">
      <c r="A1938" s="21"/>
      <c r="B1938" s="21"/>
      <c r="C1938" s="21"/>
      <c r="D1938" s="21"/>
      <c r="E1938" s="21"/>
      <c r="F1938" s="21"/>
      <c r="G1938" s="21"/>
      <c r="H1938" s="21"/>
      <c r="I1938" s="21"/>
    </row>
    <row r="1939" spans="1:9" s="17" customFormat="1" ht="16.5" customHeight="1" x14ac:dyDescent="0.2">
      <c r="A1939" s="21"/>
      <c r="B1939" s="21"/>
      <c r="C1939" s="21"/>
      <c r="D1939" s="21"/>
      <c r="E1939" s="21"/>
      <c r="F1939" s="21"/>
      <c r="G1939" s="21"/>
      <c r="H1939" s="21"/>
      <c r="I1939" s="21"/>
    </row>
    <row r="1940" spans="1:9" s="17" customFormat="1" ht="16.5" customHeight="1" x14ac:dyDescent="0.2">
      <c r="A1940" s="21"/>
      <c r="B1940" s="21"/>
      <c r="C1940" s="21"/>
      <c r="D1940" s="21"/>
      <c r="E1940" s="21"/>
      <c r="F1940" s="21"/>
      <c r="G1940" s="21"/>
      <c r="H1940" s="21"/>
      <c r="I1940" s="21"/>
    </row>
    <row r="1941" spans="1:9" s="17" customFormat="1" ht="16.5" customHeight="1" x14ac:dyDescent="0.2">
      <c r="A1941" s="21"/>
      <c r="B1941" s="21"/>
      <c r="C1941" s="21"/>
      <c r="D1941" s="21"/>
      <c r="E1941" s="21"/>
      <c r="F1941" s="21"/>
      <c r="G1941" s="21"/>
      <c r="H1941" s="21"/>
      <c r="I1941" s="249"/>
    </row>
    <row r="1942" spans="1:9" s="17" customFormat="1" ht="16.5" customHeight="1" x14ac:dyDescent="0.2">
      <c r="A1942" s="21"/>
      <c r="B1942" s="21"/>
      <c r="C1942" s="21"/>
      <c r="D1942" s="21"/>
      <c r="E1942" s="21"/>
      <c r="F1942" s="21"/>
      <c r="G1942" s="21"/>
      <c r="H1942" s="21"/>
      <c r="I1942" s="440">
        <v>34</v>
      </c>
    </row>
    <row r="1943" spans="1:9" s="17" customFormat="1" ht="16.5" customHeight="1" x14ac:dyDescent="0.2">
      <c r="A1943" s="279"/>
      <c r="B1943" s="635" t="s">
        <v>350</v>
      </c>
      <c r="C1943" s="635"/>
      <c r="D1943" s="635"/>
      <c r="E1943" s="279"/>
      <c r="F1943" s="279"/>
      <c r="G1943" s="20"/>
      <c r="H1943" s="297"/>
      <c r="I1943" s="280"/>
    </row>
    <row r="1944" spans="1:9" s="17" customFormat="1" ht="16.5" customHeight="1" x14ac:dyDescent="0.2">
      <c r="A1944" s="279"/>
      <c r="B1944" s="279"/>
      <c r="C1944" s="279"/>
      <c r="D1944" s="279"/>
      <c r="E1944" s="279"/>
      <c r="F1944" s="279"/>
      <c r="G1944" s="20"/>
      <c r="H1944" s="297"/>
      <c r="I1944" s="280"/>
    </row>
    <row r="1945" spans="1:9" s="17" customFormat="1" ht="16.5" customHeight="1" x14ac:dyDescent="0.2">
      <c r="A1945" s="761" t="s">
        <v>857</v>
      </c>
      <c r="B1945" s="761"/>
      <c r="C1945" s="761"/>
      <c r="D1945" s="761"/>
      <c r="E1945" s="761"/>
      <c r="F1945" s="761"/>
      <c r="G1945" s="761"/>
      <c r="H1945" s="761"/>
      <c r="I1945" s="761"/>
    </row>
    <row r="1946" spans="1:9" s="17" customFormat="1" ht="16.5" customHeight="1" x14ac:dyDescent="0.2">
      <c r="A1946" s="634" t="s">
        <v>858</v>
      </c>
      <c r="B1946" s="634"/>
      <c r="C1946" s="634"/>
      <c r="D1946" s="634"/>
      <c r="E1946" s="634"/>
      <c r="F1946" s="634"/>
      <c r="G1946" s="634"/>
      <c r="H1946" s="634"/>
      <c r="I1946" s="634"/>
    </row>
    <row r="1947" spans="1:9" s="17" customFormat="1" ht="16.5" customHeight="1" x14ac:dyDescent="0.2">
      <c r="A1947" s="634" t="s">
        <v>859</v>
      </c>
      <c r="B1947" s="634"/>
      <c r="C1947" s="634"/>
      <c r="D1947" s="634"/>
      <c r="E1947" s="634"/>
      <c r="F1947" s="634"/>
      <c r="G1947" s="634"/>
      <c r="H1947" s="634"/>
      <c r="I1947" s="634"/>
    </row>
    <row r="1948" spans="1:9" s="17" customFormat="1" ht="16.5" customHeight="1" x14ac:dyDescent="0.2">
      <c r="A1948" s="634" t="s">
        <v>860</v>
      </c>
      <c r="B1948" s="634"/>
      <c r="C1948" s="634"/>
      <c r="D1948" s="634"/>
      <c r="E1948" s="634"/>
      <c r="F1948" s="634"/>
      <c r="G1948" s="634"/>
      <c r="H1948" s="634"/>
      <c r="I1948" s="634"/>
    </row>
    <row r="1949" spans="1:9" s="17" customFormat="1" ht="16.5" customHeight="1" x14ac:dyDescent="0.2">
      <c r="A1949" s="634" t="s">
        <v>417</v>
      </c>
      <c r="B1949" s="634"/>
      <c r="C1949" s="634"/>
      <c r="D1949" s="634"/>
      <c r="E1949" s="634"/>
      <c r="F1949" s="634"/>
      <c r="G1949" s="634"/>
      <c r="H1949" s="634"/>
      <c r="I1949" s="634"/>
    </row>
    <row r="1950" spans="1:9" s="17" customFormat="1" ht="16.5" customHeight="1" x14ac:dyDescent="0.2">
      <c r="A1950" s="145"/>
      <c r="B1950" s="145"/>
      <c r="C1950" s="145"/>
      <c r="D1950" s="145"/>
      <c r="E1950" s="605" t="s">
        <v>84</v>
      </c>
      <c r="F1950" s="145"/>
      <c r="G1950" s="145"/>
      <c r="H1950" s="145"/>
      <c r="I1950" s="145"/>
    </row>
    <row r="1951" spans="1:9" s="17" customFormat="1" ht="16.5" customHeight="1" x14ac:dyDescent="0.2">
      <c r="A1951" s="224"/>
      <c r="B1951" s="247"/>
      <c r="C1951" s="15"/>
      <c r="D1951" s="156"/>
      <c r="E1951" s="605"/>
      <c r="F1951" s="156"/>
      <c r="G1951" s="224"/>
      <c r="H1951" s="156"/>
      <c r="I1951" s="156"/>
    </row>
    <row r="1952" spans="1:9" s="17" customFormat="1" ht="16.5" customHeight="1" x14ac:dyDescent="0.2">
      <c r="A1952" s="192" t="s">
        <v>48</v>
      </c>
      <c r="B1952" s="615" t="s">
        <v>49</v>
      </c>
      <c r="C1952" s="616"/>
      <c r="D1952" s="411" t="s">
        <v>85</v>
      </c>
      <c r="E1952" s="409" t="s">
        <v>320</v>
      </c>
      <c r="F1952" s="42" t="s">
        <v>86</v>
      </c>
      <c r="G1952" s="619" t="s">
        <v>52</v>
      </c>
      <c r="H1952" s="620"/>
      <c r="I1952" s="613" t="s">
        <v>53</v>
      </c>
    </row>
    <row r="1953" spans="1:9" s="17" customFormat="1" ht="16.5" customHeight="1" x14ac:dyDescent="0.2">
      <c r="A1953" s="193" t="s">
        <v>87</v>
      </c>
      <c r="B1953" s="617"/>
      <c r="C1953" s="618"/>
      <c r="D1953" s="412" t="s">
        <v>537</v>
      </c>
      <c r="E1953" s="44" t="s">
        <v>571</v>
      </c>
      <c r="F1953" s="44" t="s">
        <v>571</v>
      </c>
      <c r="G1953" s="29" t="s">
        <v>55</v>
      </c>
      <c r="H1953" s="29" t="s">
        <v>56</v>
      </c>
      <c r="I1953" s="614"/>
    </row>
    <row r="1954" spans="1:9" s="17" customFormat="1" ht="16.5" customHeight="1" x14ac:dyDescent="0.2">
      <c r="A1954" s="333">
        <v>1</v>
      </c>
      <c r="B1954" s="717">
        <v>2</v>
      </c>
      <c r="C1954" s="718"/>
      <c r="D1954" s="163">
        <v>3</v>
      </c>
      <c r="E1954" s="147">
        <v>4</v>
      </c>
      <c r="F1954" s="147">
        <v>5</v>
      </c>
      <c r="G1954" s="147">
        <v>6</v>
      </c>
      <c r="H1954" s="147">
        <v>7</v>
      </c>
      <c r="I1954" s="164">
        <v>8</v>
      </c>
    </row>
    <row r="1955" spans="1:9" s="17" customFormat="1" ht="16.5" customHeight="1" x14ac:dyDescent="0.2">
      <c r="A1955" s="334">
        <v>50011</v>
      </c>
      <c r="B1955" s="654" t="s">
        <v>132</v>
      </c>
      <c r="C1955" s="655"/>
      <c r="D1955" s="110">
        <f t="shared" ref="D1955:F1960" si="116">D303</f>
        <v>145757</v>
      </c>
      <c r="E1955" s="110">
        <f t="shared" si="116"/>
        <v>120000</v>
      </c>
      <c r="F1955" s="110">
        <f t="shared" si="116"/>
        <v>132612</v>
      </c>
      <c r="G1955" s="91">
        <f t="shared" ref="G1955:G1961" si="117">F1955/D1955</f>
        <v>0.90981565207845938</v>
      </c>
      <c r="H1955" s="92">
        <f t="shared" ref="H1955:H1961" si="118">F1955/E1955</f>
        <v>1.1051</v>
      </c>
      <c r="I1955" s="92">
        <f>F1955/F1961</f>
        <v>0.39479959630481964</v>
      </c>
    </row>
    <row r="1956" spans="1:9" s="17" customFormat="1" ht="16.5" customHeight="1" x14ac:dyDescent="0.2">
      <c r="A1956" s="334">
        <v>50019</v>
      </c>
      <c r="B1956" s="654" t="s">
        <v>94</v>
      </c>
      <c r="C1956" s="655"/>
      <c r="D1956" s="110">
        <f t="shared" si="116"/>
        <v>5588</v>
      </c>
      <c r="E1956" s="110">
        <f t="shared" si="116"/>
        <v>0</v>
      </c>
      <c r="F1956" s="110">
        <f t="shared" si="116"/>
        <v>13885</v>
      </c>
      <c r="G1956" s="91">
        <f t="shared" si="117"/>
        <v>2.4847888332140302</v>
      </c>
      <c r="H1956" s="92" t="e">
        <f t="shared" si="118"/>
        <v>#DIV/0!</v>
      </c>
      <c r="I1956" s="92">
        <f>F1956/F1961</f>
        <v>4.1337076544297809E-2</v>
      </c>
    </row>
    <row r="1957" spans="1:9" s="17" customFormat="1" ht="16.5" customHeight="1" x14ac:dyDescent="0.2">
      <c r="A1957" s="334">
        <v>50032</v>
      </c>
      <c r="B1957" s="654" t="s">
        <v>527</v>
      </c>
      <c r="C1957" s="655"/>
      <c r="D1957" s="110">
        <f t="shared" si="116"/>
        <v>149714.9</v>
      </c>
      <c r="E1957" s="110">
        <f t="shared" si="116"/>
        <v>125000</v>
      </c>
      <c r="F1957" s="110">
        <f t="shared" si="116"/>
        <v>102300</v>
      </c>
      <c r="G1957" s="91">
        <f t="shared" si="117"/>
        <v>0.68329872310638418</v>
      </c>
      <c r="H1957" s="92">
        <f t="shared" si="118"/>
        <v>0.81840000000000002</v>
      </c>
      <c r="I1957" s="92">
        <f>F1957/F1961</f>
        <v>0.30455764713587796</v>
      </c>
    </row>
    <row r="1958" spans="1:9" s="17" customFormat="1" ht="16.5" customHeight="1" x14ac:dyDescent="0.2">
      <c r="A1958" s="334">
        <v>50409</v>
      </c>
      <c r="B1958" s="457" t="s">
        <v>500</v>
      </c>
      <c r="C1958" s="458"/>
      <c r="D1958" s="110">
        <f t="shared" si="116"/>
        <v>0</v>
      </c>
      <c r="E1958" s="110">
        <f t="shared" si="116"/>
        <v>0</v>
      </c>
      <c r="F1958" s="110">
        <f t="shared" si="116"/>
        <v>0</v>
      </c>
      <c r="G1958" s="91">
        <v>0</v>
      </c>
      <c r="H1958" s="92">
        <v>0</v>
      </c>
      <c r="I1958" s="92">
        <f>F1958/F1961</f>
        <v>0</v>
      </c>
    </row>
    <row r="1959" spans="1:9" s="17" customFormat="1" ht="16.5" customHeight="1" x14ac:dyDescent="0.2">
      <c r="A1959" s="263">
        <v>50460</v>
      </c>
      <c r="B1959" s="762" t="s">
        <v>133</v>
      </c>
      <c r="C1959" s="763"/>
      <c r="D1959" s="110">
        <f t="shared" si="116"/>
        <v>22698.33</v>
      </c>
      <c r="E1959" s="110">
        <f t="shared" si="116"/>
        <v>15000</v>
      </c>
      <c r="F1959" s="110">
        <f t="shared" si="116"/>
        <v>19535</v>
      </c>
      <c r="G1959" s="91">
        <f t="shared" si="117"/>
        <v>0.8606360027367651</v>
      </c>
      <c r="H1959" s="92">
        <f t="shared" si="118"/>
        <v>1.3023333333333333</v>
      </c>
      <c r="I1959" s="92">
        <f>F1959/F1961</f>
        <v>5.8157709059622441E-2</v>
      </c>
    </row>
    <row r="1960" spans="1:9" s="17" customFormat="1" ht="16.5" customHeight="1" x14ac:dyDescent="0.2">
      <c r="A1960" s="334">
        <v>50504</v>
      </c>
      <c r="B1960" s="654" t="s">
        <v>134</v>
      </c>
      <c r="C1960" s="655"/>
      <c r="D1960" s="110">
        <f t="shared" si="116"/>
        <v>112313.5</v>
      </c>
      <c r="E1960" s="110">
        <f t="shared" si="116"/>
        <v>110000</v>
      </c>
      <c r="F1960" s="110">
        <f t="shared" si="116"/>
        <v>67565</v>
      </c>
      <c r="G1960" s="91">
        <f t="shared" si="117"/>
        <v>0.60157505553651169</v>
      </c>
      <c r="H1960" s="92">
        <f t="shared" si="118"/>
        <v>0.61422727272727273</v>
      </c>
      <c r="I1960" s="92">
        <f>F1960/F1961</f>
        <v>0.20114797095538214</v>
      </c>
    </row>
    <row r="1961" spans="1:9" s="17" customFormat="1" ht="16.5" customHeight="1" x14ac:dyDescent="0.2">
      <c r="A1961" s="253"/>
      <c r="B1961" s="625" t="s">
        <v>331</v>
      </c>
      <c r="C1961" s="626"/>
      <c r="D1961" s="518">
        <f>D1955+D1956+D1957+D1958+D1959+D1960</f>
        <v>436071.73000000004</v>
      </c>
      <c r="E1961" s="518">
        <f>E1955+E1956+E1957+E1958+E1959+E1960</f>
        <v>370000</v>
      </c>
      <c r="F1961" s="518">
        <f>F1955+F1956+F1957+F1958+F1959+F1960</f>
        <v>335897</v>
      </c>
      <c r="G1961" s="200">
        <f t="shared" si="117"/>
        <v>0.77027923823449862</v>
      </c>
      <c r="H1961" s="170">
        <f t="shared" si="118"/>
        <v>0.90782972972972975</v>
      </c>
      <c r="I1961" s="155">
        <f>SUM(I1955:I1960)</f>
        <v>1</v>
      </c>
    </row>
    <row r="1962" spans="1:9" s="17" customFormat="1" ht="16.5" customHeight="1" x14ac:dyDescent="0.2">
      <c r="A1962" s="276"/>
      <c r="B1962" s="276"/>
      <c r="C1962" s="276"/>
      <c r="D1962" s="276"/>
      <c r="E1962" s="276"/>
      <c r="F1962" s="276"/>
      <c r="G1962" s="276"/>
      <c r="H1962" s="276"/>
      <c r="I1962" s="276"/>
    </row>
    <row r="1963" spans="1:9" s="17" customFormat="1" ht="16.5" customHeight="1" x14ac:dyDescent="0.2">
      <c r="A1963" s="742" t="s">
        <v>861</v>
      </c>
      <c r="B1963" s="742"/>
      <c r="C1963" s="742"/>
      <c r="D1963" s="742"/>
      <c r="E1963" s="742"/>
      <c r="F1963" s="742"/>
      <c r="G1963" s="742"/>
      <c r="H1963" s="742"/>
      <c r="I1963" s="742"/>
    </row>
    <row r="1964" spans="1:9" s="17" customFormat="1" ht="16.5" customHeight="1" x14ac:dyDescent="0.2">
      <c r="A1964" s="742" t="s">
        <v>862</v>
      </c>
      <c r="B1964" s="742"/>
      <c r="C1964" s="742"/>
      <c r="D1964" s="742"/>
      <c r="E1964" s="742"/>
      <c r="F1964" s="742"/>
      <c r="G1964" s="742"/>
      <c r="H1964" s="742"/>
      <c r="I1964" s="742"/>
    </row>
    <row r="1965" spans="1:9" s="17" customFormat="1" ht="16.5" customHeight="1" x14ac:dyDescent="0.2">
      <c r="A1965" s="742" t="s">
        <v>863</v>
      </c>
      <c r="B1965" s="742"/>
      <c r="C1965" s="742"/>
      <c r="D1965" s="742"/>
      <c r="E1965" s="742"/>
      <c r="F1965" s="742"/>
      <c r="G1965" s="742"/>
      <c r="H1965" s="742"/>
      <c r="I1965" s="742"/>
    </row>
    <row r="1966" spans="1:9" s="17" customFormat="1" ht="16.5" customHeight="1" x14ac:dyDescent="0.2">
      <c r="A1966" s="742" t="s">
        <v>864</v>
      </c>
      <c r="B1966" s="742"/>
      <c r="C1966" s="742"/>
      <c r="D1966" s="742"/>
      <c r="E1966" s="742"/>
      <c r="F1966" s="742"/>
      <c r="G1966" s="742"/>
      <c r="H1966" s="742"/>
      <c r="I1966" s="742"/>
    </row>
    <row r="1967" spans="1:9" s="17" customFormat="1" ht="16.5" customHeight="1" x14ac:dyDescent="0.2">
      <c r="A1967" s="742" t="s">
        <v>865</v>
      </c>
      <c r="B1967" s="742"/>
      <c r="C1967" s="742"/>
      <c r="D1967" s="742"/>
      <c r="E1967" s="742"/>
      <c r="F1967" s="742"/>
      <c r="G1967" s="742"/>
      <c r="H1967" s="742"/>
      <c r="I1967" s="742"/>
    </row>
    <row r="1968" spans="1:9" s="17" customFormat="1" ht="16.5" customHeight="1" x14ac:dyDescent="0.2">
      <c r="A1968" s="220" t="s">
        <v>866</v>
      </c>
      <c r="B1968" s="335"/>
      <c r="C1968" s="335"/>
      <c r="D1968" s="335"/>
      <c r="E1968" s="335"/>
      <c r="F1968" s="335"/>
      <c r="G1968" s="335"/>
      <c r="H1968" s="335"/>
      <c r="I1968" s="335"/>
    </row>
    <row r="1969" spans="1:9" s="17" customFormat="1" ht="16.5" customHeight="1" x14ac:dyDescent="0.2">
      <c r="A1969" s="335" t="s">
        <v>190</v>
      </c>
      <c r="B1969" s="623" t="s">
        <v>867</v>
      </c>
      <c r="C1969" s="623"/>
      <c r="D1969" s="623"/>
      <c r="E1969" s="623"/>
      <c r="F1969" s="623"/>
      <c r="G1969" s="623"/>
      <c r="H1969" s="623"/>
      <c r="I1969" s="623"/>
    </row>
    <row r="1970" spans="1:9" s="17" customFormat="1" ht="16.5" customHeight="1" x14ac:dyDescent="0.2">
      <c r="A1970" s="623" t="s">
        <v>868</v>
      </c>
      <c r="B1970" s="623"/>
      <c r="C1970" s="623"/>
      <c r="D1970" s="623"/>
      <c r="E1970" s="623"/>
      <c r="F1970" s="623"/>
      <c r="G1970" s="623"/>
      <c r="H1970" s="623"/>
      <c r="I1970" s="623"/>
    </row>
    <row r="1971" spans="1:9" s="17" customFormat="1" ht="16.5" customHeight="1" x14ac:dyDescent="0.2">
      <c r="A1971" s="303"/>
      <c r="B1971" s="303"/>
      <c r="C1971" s="303"/>
      <c r="D1971" s="303"/>
      <c r="E1971" s="303"/>
      <c r="F1971" s="303"/>
      <c r="G1971" s="303"/>
      <c r="H1971" s="303"/>
      <c r="I1971" s="433"/>
    </row>
    <row r="1972" spans="1:9" s="17" customFormat="1" ht="16.5" customHeight="1" x14ac:dyDescent="0.2">
      <c r="A1972" s="276"/>
      <c r="B1972" s="276"/>
      <c r="C1972" s="276"/>
      <c r="D1972" s="276"/>
      <c r="E1972" s="276"/>
      <c r="F1972" s="276"/>
      <c r="G1972" s="276"/>
      <c r="H1972" s="276"/>
      <c r="I1972" s="276"/>
    </row>
    <row r="1973" spans="1:9" s="17" customFormat="1" ht="16.5" customHeight="1" x14ac:dyDescent="0.2">
      <c r="A1973" s="276"/>
      <c r="B1973" s="304" t="s">
        <v>492</v>
      </c>
      <c r="C1973" s="304"/>
      <c r="D1973" s="304"/>
      <c r="H1973" s="276"/>
      <c r="I1973" s="276"/>
    </row>
    <row r="1974" spans="1:9" s="17" customFormat="1" ht="16.5" customHeight="1" x14ac:dyDescent="0.2">
      <c r="A1974" s="145"/>
      <c r="B1974" s="145"/>
      <c r="C1974" s="145"/>
      <c r="D1974" s="145"/>
      <c r="E1974" s="605" t="s">
        <v>84</v>
      </c>
      <c r="F1974" s="145"/>
      <c r="G1974" s="145"/>
      <c r="H1974" s="145"/>
      <c r="I1974" s="145"/>
    </row>
    <row r="1975" spans="1:9" s="17" customFormat="1" ht="16.5" customHeight="1" x14ac:dyDescent="0.2">
      <c r="A1975" s="224"/>
      <c r="B1975" s="247"/>
      <c r="C1975" s="15"/>
      <c r="D1975" s="156"/>
      <c r="E1975" s="605"/>
      <c r="F1975" s="156"/>
      <c r="G1975" s="224"/>
      <c r="H1975" s="156"/>
      <c r="I1975" s="156"/>
    </row>
    <row r="1976" spans="1:9" s="17" customFormat="1" ht="16.5" customHeight="1" x14ac:dyDescent="0.2">
      <c r="A1976" s="192" t="s">
        <v>48</v>
      </c>
      <c r="B1976" s="615" t="s">
        <v>49</v>
      </c>
      <c r="C1976" s="616"/>
      <c r="D1976" s="411" t="s">
        <v>85</v>
      </c>
      <c r="E1976" s="409" t="s">
        <v>152</v>
      </c>
      <c r="F1976" s="42" t="s">
        <v>86</v>
      </c>
      <c r="G1976" s="619" t="s">
        <v>52</v>
      </c>
      <c r="H1976" s="620"/>
      <c r="I1976" s="613" t="s">
        <v>53</v>
      </c>
    </row>
    <row r="1977" spans="1:9" s="17" customFormat="1" ht="16.5" customHeight="1" x14ac:dyDescent="0.2">
      <c r="A1977" s="193" t="s">
        <v>87</v>
      </c>
      <c r="B1977" s="617"/>
      <c r="C1977" s="618"/>
      <c r="D1977" s="412" t="s">
        <v>537</v>
      </c>
      <c r="E1977" s="44" t="s">
        <v>571</v>
      </c>
      <c r="F1977" s="44" t="s">
        <v>571</v>
      </c>
      <c r="G1977" s="29" t="s">
        <v>55</v>
      </c>
      <c r="H1977" s="29" t="s">
        <v>56</v>
      </c>
      <c r="I1977" s="614"/>
    </row>
    <row r="1978" spans="1:9" s="17" customFormat="1" ht="16.5" customHeight="1" x14ac:dyDescent="0.2">
      <c r="A1978" s="164">
        <v>1</v>
      </c>
      <c r="B1978" s="717">
        <v>2</v>
      </c>
      <c r="C1978" s="718"/>
      <c r="D1978" s="163">
        <v>3</v>
      </c>
      <c r="E1978" s="147">
        <v>4</v>
      </c>
      <c r="F1978" s="147">
        <v>5</v>
      </c>
      <c r="G1978" s="147">
        <v>6</v>
      </c>
      <c r="H1978" s="147">
        <v>7</v>
      </c>
      <c r="I1978" s="164">
        <v>8</v>
      </c>
    </row>
    <row r="1979" spans="1:9" s="17" customFormat="1" ht="16.5" customHeight="1" x14ac:dyDescent="0.2">
      <c r="A1979" s="86">
        <v>111</v>
      </c>
      <c r="B1979" s="601" t="s">
        <v>184</v>
      </c>
      <c r="C1979" s="602"/>
      <c r="D1979" s="6">
        <f>D630</f>
        <v>127701.71</v>
      </c>
      <c r="E1979" s="6">
        <f>E630</f>
        <v>133726.72</v>
      </c>
      <c r="F1979" s="6">
        <f>F630</f>
        <v>133726.72</v>
      </c>
      <c r="G1979" s="91">
        <f t="shared" ref="G1979:G1984" si="119">F1979/D1979</f>
        <v>1.0471803392452614</v>
      </c>
      <c r="H1979" s="92">
        <f t="shared" ref="H1979:H1984" si="120">F1979/E1979</f>
        <v>1</v>
      </c>
      <c r="I1979" s="92">
        <f>F1979/F1984</f>
        <v>0.95928253977590838</v>
      </c>
    </row>
    <row r="1980" spans="1:9" s="17" customFormat="1" ht="16.5" customHeight="1" x14ac:dyDescent="0.2">
      <c r="A1980" s="86">
        <v>130</v>
      </c>
      <c r="B1980" s="601" t="s">
        <v>185</v>
      </c>
      <c r="C1980" s="602"/>
      <c r="D1980" s="110">
        <f>D851</f>
        <v>4098.6400000000003</v>
      </c>
      <c r="E1980" s="110">
        <f>E851</f>
        <v>6000</v>
      </c>
      <c r="F1980" s="110">
        <f>F851</f>
        <v>5676.13</v>
      </c>
      <c r="G1980" s="91">
        <f t="shared" si="119"/>
        <v>1.3848813264887865</v>
      </c>
      <c r="H1980" s="92">
        <f t="shared" si="120"/>
        <v>0.94602166666666665</v>
      </c>
      <c r="I1980" s="92">
        <f>F1980/F1984</f>
        <v>4.0717460224091541E-2</v>
      </c>
    </row>
    <row r="1981" spans="1:9" s="17" customFormat="1" ht="16.5" customHeight="1" x14ac:dyDescent="0.2">
      <c r="A1981" s="86">
        <v>132</v>
      </c>
      <c r="B1981" s="601" t="s">
        <v>186</v>
      </c>
      <c r="C1981" s="602"/>
      <c r="D1981" s="6">
        <f>D963</f>
        <v>0</v>
      </c>
      <c r="E1981" s="6">
        <f>E963</f>
        <v>0</v>
      </c>
      <c r="F1981" s="6">
        <f>F963</f>
        <v>0</v>
      </c>
      <c r="G1981" s="91" t="e">
        <f t="shared" si="119"/>
        <v>#DIV/0!</v>
      </c>
      <c r="H1981" s="92" t="e">
        <f t="shared" si="120"/>
        <v>#DIV/0!</v>
      </c>
      <c r="I1981" s="92">
        <f>F1981/F1984</f>
        <v>0</v>
      </c>
    </row>
    <row r="1982" spans="1:9" s="17" customFormat="1" ht="16.5" customHeight="1" x14ac:dyDescent="0.2">
      <c r="A1982" s="86">
        <v>200</v>
      </c>
      <c r="B1982" s="601" t="s">
        <v>187</v>
      </c>
      <c r="C1982" s="602"/>
      <c r="D1982" s="6">
        <f>D1076</f>
        <v>0</v>
      </c>
      <c r="E1982" s="6">
        <f>E1076</f>
        <v>0</v>
      </c>
      <c r="F1982" s="6">
        <f>F1076</f>
        <v>0</v>
      </c>
      <c r="G1982" s="91" t="e">
        <f t="shared" si="119"/>
        <v>#DIV/0!</v>
      </c>
      <c r="H1982" s="92" t="e">
        <f t="shared" si="120"/>
        <v>#DIV/0!</v>
      </c>
      <c r="I1982" s="92">
        <f>F1982/F1984</f>
        <v>0</v>
      </c>
    </row>
    <row r="1983" spans="1:9" s="17" customFormat="1" ht="16.5" customHeight="1" x14ac:dyDescent="0.2">
      <c r="A1983" s="86">
        <v>300</v>
      </c>
      <c r="B1983" s="601" t="s">
        <v>188</v>
      </c>
      <c r="C1983" s="602"/>
      <c r="D1983" s="6">
        <f>D1185</f>
        <v>0</v>
      </c>
      <c r="E1983" s="6">
        <f>E1185</f>
        <v>0</v>
      </c>
      <c r="F1983" s="6">
        <f>F1185</f>
        <v>0</v>
      </c>
      <c r="G1983" s="91" t="e">
        <f t="shared" si="119"/>
        <v>#DIV/0!</v>
      </c>
      <c r="H1983" s="92" t="e">
        <f t="shared" si="120"/>
        <v>#DIV/0!</v>
      </c>
      <c r="I1983" s="92">
        <f>F1983/F1984</f>
        <v>0</v>
      </c>
    </row>
    <row r="1984" spans="1:9" s="17" customFormat="1" ht="16.5" customHeight="1" x14ac:dyDescent="0.2">
      <c r="A1984" s="168"/>
      <c r="B1984" s="625" t="s">
        <v>83</v>
      </c>
      <c r="C1984" s="626"/>
      <c r="D1984" s="508">
        <f>D1979+D1980+D1981+D1982+D1983</f>
        <v>131800.35</v>
      </c>
      <c r="E1984" s="508">
        <f>E1979+E1980+E1981+E1982+E1983</f>
        <v>139726.72</v>
      </c>
      <c r="F1984" s="508">
        <f>F1979+F1980+F1981+F1982+F1983</f>
        <v>139402.85</v>
      </c>
      <c r="G1984" s="170">
        <f t="shared" si="119"/>
        <v>1.0576819409053162</v>
      </c>
      <c r="H1984" s="155">
        <f t="shared" si="120"/>
        <v>0.99768211835216636</v>
      </c>
      <c r="I1984" s="206">
        <f>SUM(I1979:I1983)</f>
        <v>0.99999999999999989</v>
      </c>
    </row>
    <row r="1985" spans="1:9" s="17" customFormat="1" ht="16.5" customHeight="1" x14ac:dyDescent="0.2">
      <c r="A1985" s="201"/>
      <c r="B1985" s="202"/>
      <c r="C1985" s="202"/>
      <c r="D1985" s="325"/>
      <c r="E1985" s="325"/>
      <c r="F1985" s="325"/>
      <c r="G1985" s="222"/>
      <c r="H1985" s="223"/>
      <c r="I1985" s="441"/>
    </row>
    <row r="1986" spans="1:9" s="17" customFormat="1" ht="16.5" customHeight="1" x14ac:dyDescent="0.2">
      <c r="A1986" s="336"/>
      <c r="B1986" s="627" t="s">
        <v>869</v>
      </c>
      <c r="C1986" s="627"/>
      <c r="D1986" s="627"/>
      <c r="E1986" s="627"/>
      <c r="F1986" s="627"/>
      <c r="G1986" s="627"/>
      <c r="H1986" s="627"/>
      <c r="I1986" s="627"/>
    </row>
    <row r="1987" spans="1:9" s="17" customFormat="1" ht="16.5" customHeight="1" x14ac:dyDescent="0.2">
      <c r="A1987" s="627" t="s">
        <v>870</v>
      </c>
      <c r="B1987" s="627"/>
      <c r="C1987" s="627"/>
      <c r="D1987" s="627"/>
      <c r="E1987" s="627"/>
      <c r="F1987" s="627"/>
      <c r="G1987" s="627"/>
      <c r="H1987" s="627"/>
      <c r="I1987" s="627"/>
    </row>
    <row r="1988" spans="1:9" s="17" customFormat="1" ht="16.5" customHeight="1" x14ac:dyDescent="0.2">
      <c r="A1988" s="732" t="s">
        <v>871</v>
      </c>
      <c r="B1988" s="732"/>
      <c r="C1988" s="732"/>
      <c r="D1988" s="732"/>
      <c r="E1988" s="732"/>
      <c r="F1988" s="732"/>
      <c r="G1988" s="732"/>
      <c r="H1988" s="732"/>
      <c r="I1988" s="732"/>
    </row>
    <row r="1989" spans="1:9" s="17" customFormat="1" ht="16.5" customHeight="1" x14ac:dyDescent="0.2">
      <c r="A1989" s="621" t="s">
        <v>872</v>
      </c>
      <c r="B1989" s="621"/>
      <c r="C1989" s="621"/>
      <c r="D1989" s="621"/>
      <c r="E1989" s="621"/>
      <c r="F1989" s="621"/>
      <c r="G1989" s="621"/>
      <c r="H1989" s="621"/>
      <c r="I1989" s="621"/>
    </row>
    <row r="1990" spans="1:9" s="17" customFormat="1" ht="16.5" customHeight="1" x14ac:dyDescent="0.2">
      <c r="A1990" s="621" t="s">
        <v>873</v>
      </c>
      <c r="B1990" s="621"/>
      <c r="C1990" s="621"/>
      <c r="D1990" s="621"/>
      <c r="E1990" s="621"/>
      <c r="F1990" s="621"/>
      <c r="G1990" s="621"/>
      <c r="H1990" s="621"/>
      <c r="I1990" s="621"/>
    </row>
    <row r="1991" spans="1:9" s="17" customFormat="1" ht="16.5" customHeight="1" x14ac:dyDescent="0.2">
      <c r="A1991" s="621" t="s">
        <v>874</v>
      </c>
      <c r="B1991" s="621"/>
      <c r="C1991" s="621"/>
      <c r="D1991" s="621"/>
      <c r="E1991" s="621"/>
      <c r="F1991" s="621"/>
      <c r="G1991" s="621"/>
      <c r="H1991" s="621"/>
      <c r="I1991" s="621"/>
    </row>
    <row r="1992" spans="1:9" s="17" customFormat="1" ht="16.5" customHeight="1" x14ac:dyDescent="0.2">
      <c r="A1992" s="621" t="s">
        <v>875</v>
      </c>
      <c r="B1992" s="621"/>
      <c r="C1992" s="621"/>
      <c r="D1992" s="621"/>
      <c r="E1992" s="621"/>
      <c r="F1992" s="621"/>
      <c r="G1992" s="621"/>
      <c r="H1992" s="621"/>
      <c r="I1992" s="621"/>
    </row>
    <row r="1993" spans="1:9" s="17" customFormat="1" ht="16.5" customHeight="1" x14ac:dyDescent="0.2">
      <c r="A1993" s="145"/>
      <c r="B1993" s="145"/>
      <c r="C1993" s="145"/>
      <c r="D1993" s="145"/>
      <c r="E1993" s="145"/>
      <c r="F1993" s="145"/>
      <c r="G1993" s="145"/>
      <c r="H1993" s="145"/>
      <c r="I1993" s="145"/>
    </row>
    <row r="1994" spans="1:9" s="17" customFormat="1" ht="16.5" customHeight="1" x14ac:dyDescent="0.2">
      <c r="A1994" s="145"/>
      <c r="B1994" s="145"/>
      <c r="C1994" s="145"/>
      <c r="D1994" s="145"/>
      <c r="E1994" s="145"/>
      <c r="F1994" s="145"/>
      <c r="G1994" s="145"/>
      <c r="H1994" s="145"/>
      <c r="I1994" s="145"/>
    </row>
    <row r="1995" spans="1:9" s="17" customFormat="1" ht="16.5" customHeight="1" x14ac:dyDescent="0.2">
      <c r="A1995" s="145"/>
      <c r="B1995" s="145"/>
      <c r="C1995" s="145"/>
      <c r="D1995" s="145"/>
      <c r="E1995" s="145"/>
      <c r="F1995" s="145"/>
      <c r="G1995" s="145"/>
      <c r="H1995" s="145"/>
      <c r="I1995" s="145"/>
    </row>
    <row r="1996" spans="1:9" s="17" customFormat="1" ht="16.5" customHeight="1" x14ac:dyDescent="0.2">
      <c r="A1996" s="145"/>
      <c r="B1996" s="145"/>
      <c r="C1996" s="145"/>
      <c r="D1996" s="145"/>
      <c r="E1996" s="145"/>
      <c r="F1996" s="145"/>
      <c r="G1996" s="145"/>
      <c r="H1996" s="145"/>
      <c r="I1996" s="145"/>
    </row>
    <row r="1997" spans="1:9" s="17" customFormat="1" ht="16.5" customHeight="1" x14ac:dyDescent="0.2">
      <c r="A1997" s="145"/>
      <c r="B1997" s="145"/>
      <c r="C1997" s="145"/>
      <c r="D1997" s="145"/>
      <c r="E1997" s="145"/>
      <c r="F1997" s="145"/>
      <c r="G1997" s="145"/>
      <c r="H1997" s="145"/>
      <c r="I1997" s="257">
        <v>35</v>
      </c>
    </row>
    <row r="1998" spans="1:9" s="17" customFormat="1" ht="16.5" customHeight="1" x14ac:dyDescent="0.2">
      <c r="A1998" s="145"/>
      <c r="B1998" s="145"/>
      <c r="C1998" s="145"/>
      <c r="D1998" s="145"/>
      <c r="E1998" s="145"/>
      <c r="F1998" s="145"/>
      <c r="G1998" s="145"/>
      <c r="H1998" s="145"/>
      <c r="I1998" s="257"/>
    </row>
    <row r="1999" spans="1:9" s="17" customFormat="1" ht="16.5" customHeight="1" x14ac:dyDescent="0.2">
      <c r="A1999" s="279"/>
      <c r="B1999" s="635" t="s">
        <v>351</v>
      </c>
      <c r="C1999" s="635"/>
      <c r="D1999" s="635"/>
      <c r="E1999" s="279"/>
      <c r="F1999" s="279"/>
      <c r="G1999" s="20"/>
      <c r="H1999" s="297"/>
      <c r="I1999" s="280"/>
    </row>
    <row r="2000" spans="1:9" s="17" customFormat="1" ht="16.5" customHeight="1" x14ac:dyDescent="0.2">
      <c r="A2000" s="279"/>
      <c r="B2000" s="24"/>
      <c r="C2000" s="24"/>
      <c r="D2000" s="24"/>
      <c r="E2000" s="279"/>
      <c r="F2000" s="279"/>
      <c r="G2000" s="20"/>
      <c r="H2000" s="297"/>
      <c r="I2000" s="280"/>
    </row>
    <row r="2001" spans="1:9" s="17" customFormat="1" ht="16.5" customHeight="1" x14ac:dyDescent="0.2">
      <c r="A2001" s="764" t="s">
        <v>876</v>
      </c>
      <c r="B2001" s="764"/>
      <c r="C2001" s="764"/>
      <c r="D2001" s="764"/>
      <c r="E2001" s="764"/>
      <c r="F2001" s="764"/>
      <c r="G2001" s="764"/>
      <c r="H2001" s="764"/>
      <c r="I2001" s="764"/>
    </row>
    <row r="2002" spans="1:9" s="17" customFormat="1" ht="16.5" customHeight="1" x14ac:dyDescent="0.2">
      <c r="A2002" s="145"/>
      <c r="B2002" s="145"/>
      <c r="C2002" s="145"/>
      <c r="D2002" s="145"/>
      <c r="E2002" s="605" t="s">
        <v>84</v>
      </c>
      <c r="F2002" s="145"/>
      <c r="G2002" s="145"/>
      <c r="H2002" s="145"/>
      <c r="I2002" s="145"/>
    </row>
    <row r="2003" spans="1:9" s="17" customFormat="1" ht="16.5" customHeight="1" x14ac:dyDescent="0.2">
      <c r="A2003" s="224"/>
      <c r="B2003" s="247"/>
      <c r="C2003" s="15"/>
      <c r="D2003" s="156"/>
      <c r="E2003" s="605"/>
      <c r="F2003" s="156"/>
      <c r="G2003" s="224"/>
      <c r="H2003" s="156"/>
      <c r="I2003" s="156"/>
    </row>
    <row r="2004" spans="1:9" s="17" customFormat="1" ht="16.5" customHeight="1" x14ac:dyDescent="0.2">
      <c r="A2004" s="192" t="s">
        <v>48</v>
      </c>
      <c r="B2004" s="615" t="s">
        <v>49</v>
      </c>
      <c r="C2004" s="616"/>
      <c r="D2004" s="411" t="s">
        <v>85</v>
      </c>
      <c r="E2004" s="409" t="s">
        <v>320</v>
      </c>
      <c r="F2004" s="42" t="s">
        <v>86</v>
      </c>
      <c r="G2004" s="619" t="s">
        <v>52</v>
      </c>
      <c r="H2004" s="620"/>
      <c r="I2004" s="613" t="s">
        <v>53</v>
      </c>
    </row>
    <row r="2005" spans="1:9" s="17" customFormat="1" ht="16.5" customHeight="1" x14ac:dyDescent="0.2">
      <c r="A2005" s="193" t="s">
        <v>87</v>
      </c>
      <c r="B2005" s="617"/>
      <c r="C2005" s="618"/>
      <c r="D2005" s="412" t="s">
        <v>537</v>
      </c>
      <c r="E2005" s="44" t="s">
        <v>571</v>
      </c>
      <c r="F2005" s="44" t="s">
        <v>571</v>
      </c>
      <c r="G2005" s="29" t="s">
        <v>55</v>
      </c>
      <c r="H2005" s="29" t="s">
        <v>56</v>
      </c>
      <c r="I2005" s="614"/>
    </row>
    <row r="2006" spans="1:9" s="17" customFormat="1" ht="16.5" customHeight="1" x14ac:dyDescent="0.2">
      <c r="A2006" s="164">
        <v>1</v>
      </c>
      <c r="B2006" s="717">
        <v>2</v>
      </c>
      <c r="C2006" s="718"/>
      <c r="D2006" s="163">
        <v>3</v>
      </c>
      <c r="E2006" s="147">
        <v>4</v>
      </c>
      <c r="F2006" s="147">
        <v>5</v>
      </c>
      <c r="G2006" s="147">
        <v>6</v>
      </c>
      <c r="H2006" s="147">
        <v>7</v>
      </c>
      <c r="I2006" s="164">
        <v>8</v>
      </c>
    </row>
    <row r="2007" spans="1:9" s="17" customFormat="1" ht="16.5" customHeight="1" x14ac:dyDescent="0.2">
      <c r="A2007" s="32">
        <v>50008</v>
      </c>
      <c r="B2007" s="524" t="s">
        <v>530</v>
      </c>
      <c r="C2007" s="420"/>
      <c r="D2007" s="562">
        <f t="shared" ref="D2007:F2011" si="121">D311</f>
        <v>89667.5</v>
      </c>
      <c r="E2007" s="562">
        <f t="shared" si="121"/>
        <v>15000</v>
      </c>
      <c r="F2007" s="562">
        <f t="shared" si="121"/>
        <v>0</v>
      </c>
      <c r="G2007" s="91">
        <f>F2007/D2007</f>
        <v>0</v>
      </c>
      <c r="H2007" s="92">
        <f>F2007/E2007</f>
        <v>0</v>
      </c>
      <c r="I2007" s="81">
        <f>F2007/F2012</f>
        <v>0</v>
      </c>
    </row>
    <row r="2008" spans="1:9" s="17" customFormat="1" ht="16.5" customHeight="1" x14ac:dyDescent="0.2">
      <c r="A2008" s="86">
        <v>50212</v>
      </c>
      <c r="B2008" s="654" t="s">
        <v>403</v>
      </c>
      <c r="C2008" s="655"/>
      <c r="D2008" s="562">
        <f t="shared" si="121"/>
        <v>22454.400000000001</v>
      </c>
      <c r="E2008" s="562">
        <f t="shared" si="121"/>
        <v>115000</v>
      </c>
      <c r="F2008" s="562">
        <f t="shared" si="121"/>
        <v>51375.25</v>
      </c>
      <c r="G2008" s="91">
        <f>F2008/D2008</f>
        <v>2.2879814201225592</v>
      </c>
      <c r="H2008" s="92">
        <f>F2008/E2008</f>
        <v>0.44674130434782611</v>
      </c>
      <c r="I2008" s="81">
        <f>F2008/F2013</f>
        <v>9.7618937955206056E-2</v>
      </c>
    </row>
    <row r="2009" spans="1:9" s="17" customFormat="1" ht="16.5" customHeight="1" x14ac:dyDescent="0.2">
      <c r="A2009" s="84">
        <v>50405</v>
      </c>
      <c r="B2009" s="654" t="s">
        <v>122</v>
      </c>
      <c r="C2009" s="655"/>
      <c r="D2009" s="562">
        <f t="shared" si="121"/>
        <v>0</v>
      </c>
      <c r="E2009" s="562">
        <f t="shared" si="121"/>
        <v>170000</v>
      </c>
      <c r="F2009" s="562">
        <f t="shared" si="121"/>
        <v>5853</v>
      </c>
      <c r="G2009" s="91" t="e">
        <f t="shared" ref="G2009:G2013" si="122">F2009/D2009</f>
        <v>#DIV/0!</v>
      </c>
      <c r="H2009" s="92">
        <f t="shared" ref="H2009:H2013" si="123">F2009/E2009</f>
        <v>3.4429411764705882E-2</v>
      </c>
      <c r="I2009" s="81">
        <f>F2009/F2012</f>
        <v>1.1121379338335503E-2</v>
      </c>
    </row>
    <row r="2010" spans="1:9" s="17" customFormat="1" ht="16.5" customHeight="1" x14ac:dyDescent="0.2">
      <c r="A2010" s="84">
        <v>50408</v>
      </c>
      <c r="B2010" s="654" t="s">
        <v>428</v>
      </c>
      <c r="C2010" s="655"/>
      <c r="D2010" s="562">
        <f t="shared" si="121"/>
        <v>293355.71000000002</v>
      </c>
      <c r="E2010" s="562">
        <f t="shared" si="121"/>
        <v>51000</v>
      </c>
      <c r="F2010" s="562">
        <f t="shared" si="121"/>
        <v>323736.39</v>
      </c>
      <c r="G2010" s="91">
        <f t="shared" si="122"/>
        <v>1.1035625998212204</v>
      </c>
      <c r="H2010" s="92">
        <f t="shared" si="123"/>
        <v>6.3477723529411767</v>
      </c>
      <c r="I2010" s="81">
        <f>F2010/F2012</f>
        <v>0.61513671601116082</v>
      </c>
    </row>
    <row r="2011" spans="1:9" s="17" customFormat="1" ht="16.5" customHeight="1" x14ac:dyDescent="0.2">
      <c r="A2011" s="84">
        <v>50413</v>
      </c>
      <c r="B2011" s="654" t="s">
        <v>137</v>
      </c>
      <c r="C2011" s="655"/>
      <c r="D2011" s="562">
        <f t="shared" si="121"/>
        <v>232686.22</v>
      </c>
      <c r="E2011" s="562">
        <f t="shared" si="121"/>
        <v>0</v>
      </c>
      <c r="F2011" s="562">
        <f t="shared" si="121"/>
        <v>145319</v>
      </c>
      <c r="G2011" s="91">
        <f t="shared" si="122"/>
        <v>0.62452774384318932</v>
      </c>
      <c r="H2011" s="92" t="e">
        <f t="shared" si="123"/>
        <v>#DIV/0!</v>
      </c>
      <c r="I2011" s="81">
        <f>F2011/F2012</f>
        <v>0.27612296669529762</v>
      </c>
    </row>
    <row r="2012" spans="1:9" s="17" customFormat="1" ht="16.5" customHeight="1" x14ac:dyDescent="0.2">
      <c r="A2012" s="84"/>
      <c r="B2012" s="678" t="s">
        <v>352</v>
      </c>
      <c r="C2012" s="679"/>
      <c r="D2012" s="112">
        <f>D2007+D2008+D2009+D2010+D2011</f>
        <v>638163.82999999996</v>
      </c>
      <c r="E2012" s="112">
        <f>E2007+E2008+E2009+E2010+E2011</f>
        <v>351000</v>
      </c>
      <c r="F2012" s="112">
        <f>F2007+F2008+F2009+F2010+F2011</f>
        <v>526283.64</v>
      </c>
      <c r="G2012" s="33">
        <f t="shared" si="122"/>
        <v>0.82468421941118164</v>
      </c>
      <c r="H2012" s="34">
        <f t="shared" si="123"/>
        <v>1.4993835897435899</v>
      </c>
      <c r="I2012" s="35">
        <f>I2007+I2008+I2009+I2010+I2011</f>
        <v>1</v>
      </c>
    </row>
    <row r="2013" spans="1:9" s="17" customFormat="1" ht="16.5" customHeight="1" x14ac:dyDescent="0.2">
      <c r="A2013" s="168"/>
      <c r="B2013" s="625" t="s">
        <v>331</v>
      </c>
      <c r="C2013" s="626"/>
      <c r="D2013" s="508">
        <f>D2012</f>
        <v>638163.82999999996</v>
      </c>
      <c r="E2013" s="508">
        <f>E2012</f>
        <v>351000</v>
      </c>
      <c r="F2013" s="508">
        <f>F2012</f>
        <v>526283.64</v>
      </c>
      <c r="G2013" s="170">
        <f t="shared" si="122"/>
        <v>0.82468421941118164</v>
      </c>
      <c r="H2013" s="155">
        <f t="shared" si="123"/>
        <v>1.4993835897435899</v>
      </c>
      <c r="I2013" s="206">
        <f>I2012</f>
        <v>1</v>
      </c>
    </row>
    <row r="2014" spans="1:9" s="17" customFormat="1" ht="16.5" customHeight="1" x14ac:dyDescent="0.2">
      <c r="A2014" s="201"/>
      <c r="B2014" s="310"/>
      <c r="C2014" s="310"/>
      <c r="D2014" s="311"/>
      <c r="E2014" s="187"/>
      <c r="F2014" s="188"/>
      <c r="G2014" s="294"/>
      <c r="H2014" s="294"/>
      <c r="I2014" s="280"/>
    </row>
    <row r="2015" spans="1:9" s="17" customFormat="1" ht="16.5" customHeight="1" x14ac:dyDescent="0.2">
      <c r="A2015" s="303"/>
      <c r="B2015" s="623" t="s">
        <v>877</v>
      </c>
      <c r="C2015" s="623"/>
      <c r="D2015" s="623"/>
      <c r="E2015" s="623"/>
      <c r="F2015" s="623"/>
      <c r="G2015" s="623"/>
      <c r="H2015" s="623"/>
      <c r="I2015" s="623"/>
    </row>
    <row r="2016" spans="1:9" s="17" customFormat="1" ht="16.5" customHeight="1" x14ac:dyDescent="0.2">
      <c r="A2016" s="623" t="s">
        <v>878</v>
      </c>
      <c r="B2016" s="623"/>
      <c r="C2016" s="623"/>
      <c r="D2016" s="623"/>
      <c r="E2016" s="623"/>
      <c r="F2016" s="623"/>
      <c r="G2016" s="623"/>
      <c r="H2016" s="623"/>
      <c r="I2016" s="623"/>
    </row>
    <row r="2017" spans="1:9" s="17" customFormat="1" ht="16.5" customHeight="1" x14ac:dyDescent="0.2">
      <c r="A2017" s="623" t="s">
        <v>879</v>
      </c>
      <c r="B2017" s="623"/>
      <c r="C2017" s="623"/>
      <c r="D2017" s="623"/>
      <c r="E2017" s="623"/>
      <c r="F2017" s="623"/>
      <c r="G2017" s="623"/>
      <c r="H2017" s="623"/>
      <c r="I2017" s="623"/>
    </row>
    <row r="2018" spans="1:9" s="17" customFormat="1" ht="16.5" customHeight="1" x14ac:dyDescent="0.2">
      <c r="A2018" s="158" t="s">
        <v>880</v>
      </c>
      <c r="B2018" s="303"/>
      <c r="C2018" s="303"/>
      <c r="D2018" s="303"/>
      <c r="E2018" s="303"/>
      <c r="F2018" s="303"/>
      <c r="G2018" s="303"/>
      <c r="H2018" s="303"/>
      <c r="I2018" s="303"/>
    </row>
    <row r="2019" spans="1:9" s="17" customFormat="1" ht="16.5" customHeight="1" x14ac:dyDescent="0.2">
      <c r="A2019" s="158"/>
      <c r="B2019" s="742" t="s">
        <v>190</v>
      </c>
      <c r="C2019" s="742"/>
      <c r="D2019" s="742"/>
      <c r="E2019" s="742"/>
      <c r="F2019" s="742"/>
      <c r="G2019" s="742"/>
      <c r="H2019" s="742"/>
      <c r="I2019" s="742"/>
    </row>
    <row r="2020" spans="1:9" s="17" customFormat="1" ht="16.5" customHeight="1" x14ac:dyDescent="0.2">
      <c r="A2020" s="623"/>
      <c r="B2020" s="623"/>
      <c r="C2020" s="623"/>
      <c r="D2020" s="623"/>
      <c r="E2020" s="623"/>
      <c r="F2020" s="623"/>
      <c r="G2020" s="623"/>
      <c r="H2020" s="623"/>
      <c r="I2020" s="623"/>
    </row>
    <row r="2021" spans="1:9" s="17" customFormat="1" ht="16.5" customHeight="1" x14ac:dyDescent="0.2">
      <c r="A2021" s="756" t="s">
        <v>496</v>
      </c>
      <c r="B2021" s="756"/>
      <c r="C2021" s="756"/>
      <c r="D2021" s="756"/>
      <c r="E2021" s="756"/>
      <c r="F2021" s="756"/>
      <c r="G2021" s="756"/>
      <c r="H2021" s="756"/>
      <c r="I2021" s="756"/>
    </row>
    <row r="2022" spans="1:9" s="17" customFormat="1" ht="16.5" customHeight="1" x14ac:dyDescent="0.2">
      <c r="A2022" s="145"/>
      <c r="B2022" s="145"/>
      <c r="C2022" s="145"/>
      <c r="D2022" s="145"/>
      <c r="E2022" s="156" t="s">
        <v>84</v>
      </c>
      <c r="F2022" s="145"/>
      <c r="G2022" s="145"/>
      <c r="H2022" s="145"/>
      <c r="I2022" s="145"/>
    </row>
    <row r="2023" spans="1:9" s="17" customFormat="1" ht="16.5" customHeight="1" x14ac:dyDescent="0.2">
      <c r="A2023" s="145"/>
      <c r="B2023" s="145"/>
      <c r="C2023" s="145"/>
      <c r="D2023" s="145"/>
      <c r="E2023" s="156"/>
      <c r="F2023" s="145"/>
      <c r="G2023" s="145"/>
      <c r="H2023" s="145"/>
      <c r="I2023" s="145"/>
    </row>
    <row r="2024" spans="1:9" s="17" customFormat="1" ht="16.5" customHeight="1" x14ac:dyDescent="0.2">
      <c r="A2024" s="192" t="s">
        <v>48</v>
      </c>
      <c r="B2024" s="615" t="s">
        <v>49</v>
      </c>
      <c r="C2024" s="616"/>
      <c r="D2024" s="411" t="s">
        <v>85</v>
      </c>
      <c r="E2024" s="409" t="s">
        <v>152</v>
      </c>
      <c r="F2024" s="42" t="s">
        <v>86</v>
      </c>
      <c r="G2024" s="619" t="s">
        <v>52</v>
      </c>
      <c r="H2024" s="620"/>
      <c r="I2024" s="613" t="s">
        <v>53</v>
      </c>
    </row>
    <row r="2025" spans="1:9" s="17" customFormat="1" ht="16.5" customHeight="1" x14ac:dyDescent="0.2">
      <c r="A2025" s="193" t="s">
        <v>87</v>
      </c>
      <c r="B2025" s="617"/>
      <c r="C2025" s="618"/>
      <c r="D2025" s="412" t="s">
        <v>537</v>
      </c>
      <c r="E2025" s="44" t="s">
        <v>571</v>
      </c>
      <c r="F2025" s="44" t="s">
        <v>571</v>
      </c>
      <c r="G2025" s="29" t="s">
        <v>55</v>
      </c>
      <c r="H2025" s="29" t="s">
        <v>56</v>
      </c>
      <c r="I2025" s="614"/>
    </row>
    <row r="2026" spans="1:9" s="17" customFormat="1" ht="16.5" customHeight="1" x14ac:dyDescent="0.2">
      <c r="A2026" s="164">
        <v>1</v>
      </c>
      <c r="B2026" s="717">
        <v>2</v>
      </c>
      <c r="C2026" s="718"/>
      <c r="D2026" s="163">
        <v>3</v>
      </c>
      <c r="E2026" s="147">
        <v>4</v>
      </c>
      <c r="F2026" s="147">
        <v>5</v>
      </c>
      <c r="G2026" s="147">
        <v>6</v>
      </c>
      <c r="H2026" s="147">
        <v>7</v>
      </c>
      <c r="I2026" s="164">
        <v>8</v>
      </c>
    </row>
    <row r="2027" spans="1:9" s="17" customFormat="1" ht="16.5" customHeight="1" x14ac:dyDescent="0.2">
      <c r="A2027" s="86">
        <v>111</v>
      </c>
      <c r="B2027" s="601" t="s">
        <v>184</v>
      </c>
      <c r="C2027" s="602"/>
      <c r="D2027" s="6">
        <f>D631</f>
        <v>40391.480000000003</v>
      </c>
      <c r="E2027" s="6">
        <f>E631</f>
        <v>42897.919999999998</v>
      </c>
      <c r="F2027" s="6">
        <f>F631</f>
        <v>42897.919999999998</v>
      </c>
      <c r="G2027" s="91">
        <f t="shared" ref="G2027:G2032" si="124">F2027/D2027</f>
        <v>1.0620536806276966</v>
      </c>
      <c r="H2027" s="92">
        <f t="shared" ref="H2027:H2032" si="125">F2027/E2027</f>
        <v>1</v>
      </c>
      <c r="I2027" s="92">
        <f>F2027/F2032</f>
        <v>0.91540403070443865</v>
      </c>
    </row>
    <row r="2028" spans="1:9" s="17" customFormat="1" ht="16.5" customHeight="1" x14ac:dyDescent="0.2">
      <c r="A2028" s="86">
        <v>130</v>
      </c>
      <c r="B2028" s="601" t="s">
        <v>185</v>
      </c>
      <c r="C2028" s="602"/>
      <c r="D2028" s="110">
        <f>D852</f>
        <v>3994.36</v>
      </c>
      <c r="E2028" s="110">
        <f>E852</f>
        <v>4000</v>
      </c>
      <c r="F2028" s="110">
        <f>F852</f>
        <v>3964.36</v>
      </c>
      <c r="G2028" s="91">
        <f t="shared" si="124"/>
        <v>0.99248941006819613</v>
      </c>
      <c r="H2028" s="92">
        <f t="shared" si="125"/>
        <v>0.99109000000000003</v>
      </c>
      <c r="I2028" s="92">
        <f>F2028/F2032</f>
        <v>8.4595969295561388E-2</v>
      </c>
    </row>
    <row r="2029" spans="1:9" s="17" customFormat="1" ht="16.5" customHeight="1" x14ac:dyDescent="0.2">
      <c r="A2029" s="86">
        <v>132</v>
      </c>
      <c r="B2029" s="601" t="s">
        <v>186</v>
      </c>
      <c r="C2029" s="602"/>
      <c r="D2029" s="6">
        <f>D964</f>
        <v>0</v>
      </c>
      <c r="E2029" s="6">
        <f>E964</f>
        <v>0</v>
      </c>
      <c r="F2029" s="6">
        <f>F964</f>
        <v>0</v>
      </c>
      <c r="G2029" s="91" t="e">
        <f t="shared" si="124"/>
        <v>#DIV/0!</v>
      </c>
      <c r="H2029" s="92" t="e">
        <f t="shared" si="125"/>
        <v>#DIV/0!</v>
      </c>
      <c r="I2029" s="92">
        <f>F2029/F2032</f>
        <v>0</v>
      </c>
    </row>
    <row r="2030" spans="1:9" s="17" customFormat="1" ht="16.5" customHeight="1" x14ac:dyDescent="0.2">
      <c r="A2030" s="86">
        <v>200</v>
      </c>
      <c r="B2030" s="601" t="s">
        <v>187</v>
      </c>
      <c r="C2030" s="602"/>
      <c r="D2030" s="6">
        <f>D1077</f>
        <v>0</v>
      </c>
      <c r="E2030" s="6">
        <f>E1077</f>
        <v>0</v>
      </c>
      <c r="F2030" s="6">
        <f>F1077</f>
        <v>0</v>
      </c>
      <c r="G2030" s="91" t="e">
        <f t="shared" si="124"/>
        <v>#DIV/0!</v>
      </c>
      <c r="H2030" s="92" t="e">
        <f t="shared" si="125"/>
        <v>#DIV/0!</v>
      </c>
      <c r="I2030" s="92">
        <f>F2030/F2032</f>
        <v>0</v>
      </c>
    </row>
    <row r="2031" spans="1:9" s="17" customFormat="1" ht="16.5" customHeight="1" x14ac:dyDescent="0.2">
      <c r="A2031" s="86">
        <v>300</v>
      </c>
      <c r="B2031" s="601" t="s">
        <v>188</v>
      </c>
      <c r="C2031" s="602"/>
      <c r="D2031" s="6">
        <f>D1186</f>
        <v>0</v>
      </c>
      <c r="E2031" s="6">
        <f>E1186</f>
        <v>0</v>
      </c>
      <c r="F2031" s="6">
        <f>F1186</f>
        <v>0</v>
      </c>
      <c r="G2031" s="91" t="e">
        <f t="shared" si="124"/>
        <v>#DIV/0!</v>
      </c>
      <c r="H2031" s="92" t="e">
        <f t="shared" si="125"/>
        <v>#DIV/0!</v>
      </c>
      <c r="I2031" s="92">
        <f>F2031/F2032</f>
        <v>0</v>
      </c>
    </row>
    <row r="2032" spans="1:9" s="17" customFormat="1" ht="16.5" customHeight="1" x14ac:dyDescent="0.2">
      <c r="A2032" s="168"/>
      <c r="B2032" s="625" t="s">
        <v>83</v>
      </c>
      <c r="C2032" s="626"/>
      <c r="D2032" s="508">
        <f>D2027+D2028+D2029+D2030+D2031</f>
        <v>44385.840000000004</v>
      </c>
      <c r="E2032" s="508">
        <f>E2027+E2028+E2029+E2030+E2031</f>
        <v>46897.919999999998</v>
      </c>
      <c r="F2032" s="414">
        <f>F2027+F2028+F2029+F2030+F2031</f>
        <v>46862.28</v>
      </c>
      <c r="G2032" s="200">
        <f t="shared" si="124"/>
        <v>1.0557934692685775</v>
      </c>
      <c r="H2032" s="155">
        <f t="shared" si="125"/>
        <v>0.99924005158437734</v>
      </c>
      <c r="I2032" s="206">
        <f>SUM(I2027:I2031)</f>
        <v>1</v>
      </c>
    </row>
    <row r="2033" spans="1:9" s="17" customFormat="1" ht="16.5" customHeight="1" x14ac:dyDescent="0.2">
      <c r="A2033" s="314"/>
      <c r="B2033" s="314"/>
      <c r="C2033" s="314"/>
      <c r="D2033" s="314"/>
      <c r="E2033" s="314"/>
      <c r="F2033" s="314"/>
      <c r="G2033" s="156"/>
      <c r="H2033" s="20"/>
    </row>
    <row r="2034" spans="1:9" s="17" customFormat="1" ht="16.5" customHeight="1" x14ac:dyDescent="0.2">
      <c r="A2034" s="295"/>
      <c r="B2034" s="627" t="s">
        <v>881</v>
      </c>
      <c r="C2034" s="627"/>
      <c r="D2034" s="627"/>
      <c r="E2034" s="627"/>
      <c r="F2034" s="627"/>
      <c r="G2034" s="627"/>
      <c r="H2034" s="627"/>
      <c r="I2034" s="627"/>
    </row>
    <row r="2035" spans="1:9" s="17" customFormat="1" ht="18" customHeight="1" x14ac:dyDescent="0.2">
      <c r="A2035" s="627" t="s">
        <v>882</v>
      </c>
      <c r="B2035" s="627"/>
      <c r="C2035" s="627"/>
      <c r="D2035" s="627"/>
      <c r="E2035" s="627"/>
      <c r="F2035" s="627"/>
      <c r="G2035" s="627"/>
      <c r="H2035" s="627"/>
      <c r="I2035" s="627"/>
    </row>
    <row r="2036" spans="1:9" s="17" customFormat="1" ht="16.5" customHeight="1" x14ac:dyDescent="0.2">
      <c r="A2036" s="621" t="s">
        <v>883</v>
      </c>
      <c r="B2036" s="621"/>
      <c r="C2036" s="621"/>
      <c r="D2036" s="621"/>
      <c r="E2036" s="621"/>
      <c r="F2036" s="621"/>
      <c r="G2036" s="621"/>
      <c r="H2036" s="621"/>
      <c r="I2036" s="621"/>
    </row>
    <row r="2037" spans="1:9" s="17" customFormat="1" ht="16.5" customHeight="1" x14ac:dyDescent="0.2">
      <c r="A2037" s="621" t="s">
        <v>884</v>
      </c>
      <c r="B2037" s="621"/>
      <c r="C2037" s="621"/>
      <c r="D2037" s="621"/>
      <c r="E2037" s="621"/>
      <c r="F2037" s="621"/>
      <c r="G2037" s="621"/>
      <c r="H2037" s="621"/>
      <c r="I2037" s="621"/>
    </row>
    <row r="2038" spans="1:9" s="17" customFormat="1" ht="16.5" customHeight="1" x14ac:dyDescent="0.2">
      <c r="A2038" s="621" t="s">
        <v>885</v>
      </c>
      <c r="B2038" s="621"/>
      <c r="C2038" s="621"/>
      <c r="D2038" s="621"/>
      <c r="E2038" s="621"/>
      <c r="F2038" s="621"/>
      <c r="G2038" s="621"/>
      <c r="H2038" s="621"/>
      <c r="I2038" s="621"/>
    </row>
    <row r="2039" spans="1:9" s="17" customFormat="1" ht="16.5" customHeight="1" x14ac:dyDescent="0.2">
      <c r="A2039" s="621" t="s">
        <v>886</v>
      </c>
      <c r="B2039" s="621"/>
      <c r="C2039" s="621"/>
      <c r="D2039" s="621"/>
      <c r="E2039" s="621"/>
      <c r="F2039" s="621"/>
      <c r="G2039" s="621"/>
      <c r="H2039" s="621"/>
      <c r="I2039" s="621"/>
    </row>
    <row r="2040" spans="1:9" s="17" customFormat="1" ht="16.5" customHeight="1" x14ac:dyDescent="0.2">
      <c r="A2040" s="603"/>
      <c r="B2040" s="603"/>
      <c r="C2040" s="603"/>
      <c r="D2040" s="603"/>
      <c r="E2040" s="603"/>
      <c r="F2040" s="603"/>
      <c r="G2040" s="603"/>
      <c r="H2040" s="603"/>
      <c r="I2040" s="603"/>
    </row>
    <row r="2041" spans="1:9" s="17" customFormat="1" ht="16.5" customHeight="1" x14ac:dyDescent="0.2">
      <c r="A2041" s="603"/>
      <c r="B2041" s="603"/>
      <c r="C2041" s="603"/>
      <c r="D2041" s="603"/>
      <c r="E2041" s="603"/>
      <c r="F2041" s="603"/>
      <c r="G2041" s="603"/>
      <c r="H2041" s="603"/>
      <c r="I2041" s="603"/>
    </row>
    <row r="2042" spans="1:9" s="17" customFormat="1" ht="16.5" customHeight="1" x14ac:dyDescent="0.2">
      <c r="A2042" s="21"/>
      <c r="B2042" s="18"/>
      <c r="C2042" s="18"/>
      <c r="D2042" s="18"/>
      <c r="E2042" s="18"/>
      <c r="F2042" s="18"/>
      <c r="G2042" s="18"/>
      <c r="H2042" s="337"/>
      <c r="I2042" s="280"/>
    </row>
    <row r="2043" spans="1:9" s="17" customFormat="1" ht="16.5" customHeight="1" x14ac:dyDescent="0.2">
      <c r="A2043" s="21"/>
      <c r="B2043" s="18"/>
      <c r="C2043" s="18"/>
      <c r="D2043" s="18"/>
      <c r="E2043" s="18"/>
      <c r="F2043" s="18"/>
      <c r="G2043" s="18"/>
      <c r="H2043" s="337"/>
      <c r="I2043" s="280"/>
    </row>
    <row r="2044" spans="1:9" s="17" customFormat="1" ht="16.5" customHeight="1" x14ac:dyDescent="0.2">
      <c r="A2044" s="21"/>
      <c r="B2044" s="18"/>
      <c r="C2044" s="18"/>
      <c r="D2044" s="18"/>
      <c r="E2044" s="18"/>
      <c r="F2044" s="18"/>
      <c r="G2044" s="18"/>
      <c r="H2044" s="337"/>
      <c r="I2044" s="280"/>
    </row>
    <row r="2045" spans="1:9" s="17" customFormat="1" ht="16.5" customHeight="1" x14ac:dyDescent="0.2">
      <c r="A2045" s="21"/>
      <c r="B2045" s="18"/>
      <c r="C2045" s="18"/>
      <c r="D2045" s="18"/>
      <c r="E2045" s="18"/>
      <c r="F2045" s="18"/>
      <c r="G2045" s="18"/>
      <c r="H2045" s="337"/>
      <c r="I2045" s="280"/>
    </row>
    <row r="2046" spans="1:9" s="17" customFormat="1" ht="16.5" customHeight="1" x14ac:dyDescent="0.2">
      <c r="A2046" s="21"/>
      <c r="B2046" s="18"/>
      <c r="C2046" s="18"/>
      <c r="D2046" s="18"/>
      <c r="E2046" s="18"/>
      <c r="F2046" s="18"/>
      <c r="G2046" s="18"/>
      <c r="H2046" s="337"/>
      <c r="I2046" s="280"/>
    </row>
    <row r="2047" spans="1:9" s="17" customFormat="1" ht="16.5" customHeight="1" x14ac:dyDescent="0.2">
      <c r="A2047" s="21"/>
      <c r="B2047" s="18"/>
      <c r="C2047" s="18"/>
      <c r="D2047" s="18"/>
      <c r="E2047" s="18"/>
      <c r="F2047" s="18"/>
      <c r="G2047" s="18"/>
      <c r="H2047" s="337"/>
      <c r="I2047" s="280"/>
    </row>
    <row r="2048" spans="1:9" s="17" customFormat="1" ht="16.5" customHeight="1" x14ac:dyDescent="0.2">
      <c r="A2048" s="21"/>
      <c r="B2048" s="18"/>
      <c r="C2048" s="18"/>
      <c r="D2048" s="18"/>
      <c r="E2048" s="18"/>
      <c r="F2048" s="18"/>
      <c r="G2048" s="18"/>
      <c r="H2048" s="337"/>
      <c r="I2048" s="280"/>
    </row>
    <row r="2049" spans="1:9" s="17" customFormat="1" ht="16.5" customHeight="1" x14ac:dyDescent="0.2">
      <c r="A2049" s="21"/>
      <c r="B2049" s="18"/>
      <c r="C2049" s="18"/>
      <c r="D2049" s="18"/>
      <c r="E2049" s="18"/>
      <c r="F2049" s="18"/>
      <c r="G2049" s="18"/>
      <c r="H2049" s="337"/>
      <c r="I2049" s="280"/>
    </row>
    <row r="2050" spans="1:9" s="17" customFormat="1" ht="16.5" customHeight="1" x14ac:dyDescent="0.2">
      <c r="A2050" s="21"/>
      <c r="B2050" s="18"/>
      <c r="C2050" s="18"/>
      <c r="D2050" s="18"/>
      <c r="E2050" s="18"/>
      <c r="F2050" s="18"/>
      <c r="G2050" s="18"/>
      <c r="H2050" s="337"/>
      <c r="I2050" s="280"/>
    </row>
    <row r="2051" spans="1:9" s="17" customFormat="1" ht="16.5" customHeight="1" x14ac:dyDescent="0.2">
      <c r="A2051" s="21"/>
      <c r="B2051" s="18"/>
      <c r="C2051" s="18"/>
      <c r="D2051" s="18"/>
      <c r="E2051" s="18"/>
      <c r="F2051" s="18"/>
      <c r="G2051" s="18"/>
      <c r="H2051" s="337"/>
      <c r="I2051" s="280"/>
    </row>
    <row r="2052" spans="1:9" s="17" customFormat="1" ht="16.5" customHeight="1" x14ac:dyDescent="0.2">
      <c r="A2052" s="21"/>
      <c r="B2052" s="18"/>
      <c r="C2052" s="18"/>
      <c r="D2052" s="18"/>
      <c r="E2052" s="18"/>
      <c r="F2052" s="18"/>
      <c r="G2052" s="18"/>
      <c r="H2052" s="337"/>
      <c r="I2052" s="304">
        <v>36</v>
      </c>
    </row>
    <row r="2053" spans="1:9" s="17" customFormat="1" ht="16.5" customHeight="1" x14ac:dyDescent="0.2">
      <c r="A2053" s="21"/>
      <c r="B2053" s="18"/>
      <c r="C2053" s="18"/>
      <c r="D2053" s="18"/>
      <c r="E2053" s="18"/>
      <c r="F2053" s="18"/>
      <c r="G2053" s="18"/>
      <c r="H2053" s="337"/>
      <c r="I2053" s="249"/>
    </row>
    <row r="2054" spans="1:9" s="17" customFormat="1" ht="16.5" customHeight="1" x14ac:dyDescent="0.2">
      <c r="A2054" s="21"/>
      <c r="B2054" s="18"/>
      <c r="C2054" s="18"/>
      <c r="D2054" s="18"/>
      <c r="E2054" s="18"/>
      <c r="F2054" s="18"/>
      <c r="G2054" s="18"/>
      <c r="H2054" s="337"/>
      <c r="I2054" s="312"/>
    </row>
    <row r="2055" spans="1:9" s="17" customFormat="1" ht="16.5" customHeight="1" x14ac:dyDescent="0.2">
      <c r="A2055" s="279"/>
      <c r="B2055" s="635" t="s">
        <v>353</v>
      </c>
      <c r="C2055" s="635"/>
      <c r="D2055" s="635"/>
      <c r="E2055" s="279"/>
      <c r="F2055" s="279"/>
      <c r="G2055" s="20"/>
      <c r="H2055" s="297"/>
      <c r="I2055" s="280"/>
    </row>
    <row r="2056" spans="1:9" s="17" customFormat="1" ht="16.5" customHeight="1" x14ac:dyDescent="0.2">
      <c r="A2056" s="279"/>
      <c r="B2056" s="24"/>
      <c r="C2056" s="24"/>
      <c r="D2056" s="24"/>
      <c r="E2056" s="279"/>
      <c r="F2056" s="279"/>
      <c r="G2056" s="20"/>
      <c r="H2056" s="297"/>
      <c r="I2056" s="280"/>
    </row>
    <row r="2057" spans="1:9" s="17" customFormat="1" ht="16.5" customHeight="1" x14ac:dyDescent="0.2">
      <c r="A2057" s="764" t="s">
        <v>887</v>
      </c>
      <c r="B2057" s="764"/>
      <c r="C2057" s="764"/>
      <c r="D2057" s="764"/>
      <c r="E2057" s="764"/>
      <c r="F2057" s="764"/>
      <c r="G2057" s="764"/>
      <c r="H2057" s="764"/>
      <c r="I2057" s="764"/>
    </row>
    <row r="2058" spans="1:9" s="17" customFormat="1" ht="18.75" customHeight="1" x14ac:dyDescent="0.2">
      <c r="A2058" s="764" t="s">
        <v>888</v>
      </c>
      <c r="B2058" s="764"/>
      <c r="C2058" s="764"/>
      <c r="D2058" s="764"/>
      <c r="E2058" s="764"/>
      <c r="F2058" s="764"/>
      <c r="G2058" s="764"/>
      <c r="H2058" s="764"/>
      <c r="I2058" s="764"/>
    </row>
    <row r="2059" spans="1:9" s="17" customFormat="1" ht="16.5" customHeight="1" x14ac:dyDescent="0.2">
      <c r="A2059" s="145"/>
      <c r="B2059" s="145"/>
      <c r="C2059" s="145"/>
      <c r="D2059" s="145"/>
      <c r="E2059" s="605" t="s">
        <v>84</v>
      </c>
      <c r="F2059" s="145"/>
      <c r="G2059" s="145"/>
      <c r="H2059" s="145"/>
      <c r="I2059" s="145"/>
    </row>
    <row r="2060" spans="1:9" s="17" customFormat="1" ht="16.5" customHeight="1" x14ac:dyDescent="0.2">
      <c r="A2060" s="224"/>
      <c r="B2060" s="247"/>
      <c r="C2060" s="15"/>
      <c r="D2060" s="156"/>
      <c r="E2060" s="605"/>
      <c r="F2060" s="156"/>
      <c r="G2060" s="224"/>
      <c r="H2060" s="156"/>
      <c r="I2060" s="156"/>
    </row>
    <row r="2061" spans="1:9" s="17" customFormat="1" ht="16.5" customHeight="1" x14ac:dyDescent="0.2">
      <c r="A2061" s="192" t="s">
        <v>48</v>
      </c>
      <c r="B2061" s="615" t="s">
        <v>49</v>
      </c>
      <c r="C2061" s="616"/>
      <c r="D2061" s="411" t="s">
        <v>85</v>
      </c>
      <c r="E2061" s="409" t="s">
        <v>320</v>
      </c>
      <c r="F2061" s="42" t="s">
        <v>86</v>
      </c>
      <c r="G2061" s="619" t="s">
        <v>52</v>
      </c>
      <c r="H2061" s="620"/>
      <c r="I2061" s="613" t="s">
        <v>53</v>
      </c>
    </row>
    <row r="2062" spans="1:9" s="17" customFormat="1" ht="16.5" customHeight="1" x14ac:dyDescent="0.2">
      <c r="A2062" s="193" t="s">
        <v>87</v>
      </c>
      <c r="B2062" s="617"/>
      <c r="C2062" s="618"/>
      <c r="D2062" s="412" t="s">
        <v>537</v>
      </c>
      <c r="E2062" s="44" t="s">
        <v>571</v>
      </c>
      <c r="F2062" s="44" t="s">
        <v>571</v>
      </c>
      <c r="G2062" s="29" t="s">
        <v>55</v>
      </c>
      <c r="H2062" s="29" t="s">
        <v>56</v>
      </c>
      <c r="I2062" s="614"/>
    </row>
    <row r="2063" spans="1:9" s="17" customFormat="1" ht="16.5" customHeight="1" x14ac:dyDescent="0.2">
      <c r="A2063" s="164">
        <v>1</v>
      </c>
      <c r="B2063" s="717">
        <v>2</v>
      </c>
      <c r="C2063" s="718"/>
      <c r="D2063" s="163">
        <v>3</v>
      </c>
      <c r="E2063" s="147">
        <v>4</v>
      </c>
      <c r="F2063" s="147">
        <v>5</v>
      </c>
      <c r="G2063" s="147">
        <v>6</v>
      </c>
      <c r="H2063" s="147">
        <v>7</v>
      </c>
      <c r="I2063" s="164">
        <v>8</v>
      </c>
    </row>
    <row r="2064" spans="1:9" s="17" customFormat="1" ht="16.5" customHeight="1" x14ac:dyDescent="0.2">
      <c r="A2064" s="338">
        <v>50009</v>
      </c>
      <c r="B2064" s="654" t="s">
        <v>138</v>
      </c>
      <c r="C2064" s="655"/>
      <c r="D2064" s="6">
        <f t="shared" ref="D2064:F2065" si="126">D318</f>
        <v>605973.21</v>
      </c>
      <c r="E2064" s="6">
        <f t="shared" si="126"/>
        <v>581176.19999999995</v>
      </c>
      <c r="F2064" s="6">
        <f t="shared" si="126"/>
        <v>1199880.6200000001</v>
      </c>
      <c r="G2064" s="242">
        <f>F2064/D2064</f>
        <v>1.9800885587004748</v>
      </c>
      <c r="H2064" s="243">
        <f>F2064/E2064</f>
        <v>2.0645728782424335</v>
      </c>
      <c r="I2064" s="243">
        <f>F2064/F2066</f>
        <v>0.97454813422877229</v>
      </c>
    </row>
    <row r="2065" spans="1:9" s="17" customFormat="1" ht="16.5" customHeight="1" x14ac:dyDescent="0.2">
      <c r="A2065" s="86">
        <v>50026</v>
      </c>
      <c r="B2065" s="654" t="s">
        <v>139</v>
      </c>
      <c r="C2065" s="655"/>
      <c r="D2065" s="6">
        <f t="shared" si="126"/>
        <v>18586.189999999999</v>
      </c>
      <c r="E2065" s="6">
        <f t="shared" si="126"/>
        <v>105883.2</v>
      </c>
      <c r="F2065" s="6">
        <f t="shared" si="126"/>
        <v>31336.78</v>
      </c>
      <c r="G2065" s="242">
        <f>F2065/D2065</f>
        <v>1.6860249464790795</v>
      </c>
      <c r="H2065" s="243">
        <f>F2065/E2065</f>
        <v>0.29595611012889672</v>
      </c>
      <c r="I2065" s="243">
        <f>F2065/F2066</f>
        <v>2.5451865771227725E-2</v>
      </c>
    </row>
    <row r="2066" spans="1:9" s="17" customFormat="1" ht="16.5" customHeight="1" x14ac:dyDescent="0.2">
      <c r="A2066" s="168"/>
      <c r="B2066" s="625" t="s">
        <v>331</v>
      </c>
      <c r="C2066" s="626"/>
      <c r="D2066" s="509">
        <f>D2064+D2065</f>
        <v>624559.39999999991</v>
      </c>
      <c r="E2066" s="509">
        <f>E2064+E2065</f>
        <v>687059.39999999991</v>
      </c>
      <c r="F2066" s="509">
        <f>F2064+F2065</f>
        <v>1231217.4000000001</v>
      </c>
      <c r="G2066" s="170">
        <f>F2066/D2066</f>
        <v>1.9713375541221545</v>
      </c>
      <c r="H2066" s="155">
        <f>F2066/E2066</f>
        <v>1.7920101231421917</v>
      </c>
      <c r="I2066" s="155">
        <f>I2064+I2065</f>
        <v>1</v>
      </c>
    </row>
    <row r="2067" spans="1:9" s="17" customFormat="1" ht="16.5" customHeight="1" x14ac:dyDescent="0.2">
      <c r="A2067" s="339"/>
      <c r="B2067" s="259"/>
      <c r="C2067" s="259"/>
      <c r="D2067" s="340"/>
      <c r="E2067" s="187"/>
      <c r="F2067" s="188"/>
      <c r="G2067" s="294"/>
      <c r="H2067" s="294"/>
      <c r="I2067" s="280"/>
    </row>
    <row r="2068" spans="1:9" s="17" customFormat="1" ht="16.5" customHeight="1" x14ac:dyDescent="0.2">
      <c r="A2068" s="623" t="s">
        <v>889</v>
      </c>
      <c r="B2068" s="623"/>
      <c r="C2068" s="623"/>
      <c r="D2068" s="623"/>
      <c r="E2068" s="623"/>
      <c r="F2068" s="623"/>
      <c r="G2068" s="623"/>
      <c r="H2068" s="623"/>
      <c r="I2068" s="623"/>
    </row>
    <row r="2069" spans="1:9" s="17" customFormat="1" ht="16.5" customHeight="1" x14ac:dyDescent="0.2">
      <c r="A2069" s="303"/>
      <c r="B2069" s="623" t="s">
        <v>890</v>
      </c>
      <c r="C2069" s="623"/>
      <c r="D2069" s="623"/>
      <c r="E2069" s="623"/>
      <c r="F2069" s="623"/>
      <c r="G2069" s="623"/>
      <c r="H2069" s="623"/>
      <c r="I2069" s="623"/>
    </row>
    <row r="2070" spans="1:9" s="17" customFormat="1" ht="16.5" customHeight="1" x14ac:dyDescent="0.2">
      <c r="A2070" s="303"/>
      <c r="B2070" s="623" t="s">
        <v>891</v>
      </c>
      <c r="C2070" s="623"/>
      <c r="D2070" s="623"/>
      <c r="E2070" s="623"/>
      <c r="F2070" s="623"/>
      <c r="G2070" s="623"/>
      <c r="H2070" s="623"/>
      <c r="I2070" s="623"/>
    </row>
    <row r="2071" spans="1:9" s="17" customFormat="1" ht="16.5" customHeight="1" x14ac:dyDescent="0.2">
      <c r="A2071" s="623" t="s">
        <v>892</v>
      </c>
      <c r="B2071" s="623"/>
      <c r="C2071" s="623"/>
      <c r="D2071" s="623"/>
      <c r="E2071" s="623"/>
      <c r="F2071" s="623"/>
      <c r="G2071" s="623"/>
      <c r="H2071" s="623"/>
      <c r="I2071" s="623"/>
    </row>
    <row r="2072" spans="1:9" s="17" customFormat="1" ht="16.5" customHeight="1" x14ac:dyDescent="0.2">
      <c r="A2072" s="303"/>
      <c r="B2072" s="303"/>
      <c r="C2072" s="303"/>
      <c r="D2072" s="303"/>
      <c r="E2072" s="303"/>
      <c r="F2072" s="303"/>
      <c r="G2072" s="303"/>
      <c r="H2072" s="303"/>
      <c r="I2072" s="303"/>
    </row>
    <row r="2073" spans="1:9" s="17" customFormat="1" ht="16.5" customHeight="1" x14ac:dyDescent="0.2">
      <c r="A2073" s="624" t="s">
        <v>493</v>
      </c>
      <c r="B2073" s="624"/>
      <c r="C2073" s="624"/>
      <c r="D2073" s="624"/>
      <c r="E2073" s="624"/>
      <c r="F2073" s="624"/>
      <c r="G2073" s="624"/>
      <c r="H2073" s="624"/>
      <c r="I2073" s="624"/>
    </row>
    <row r="2074" spans="1:9" s="17" customFormat="1" ht="16.5" customHeight="1" x14ac:dyDescent="0.2">
      <c r="A2074" s="145"/>
      <c r="B2074" s="145"/>
      <c r="C2074" s="145"/>
      <c r="D2074" s="145"/>
      <c r="E2074" s="605" t="s">
        <v>84</v>
      </c>
      <c r="F2074" s="145"/>
      <c r="G2074" s="145"/>
      <c r="H2074" s="145"/>
      <c r="I2074" s="145"/>
    </row>
    <row r="2075" spans="1:9" s="17" customFormat="1" ht="16.5" customHeight="1" x14ac:dyDescent="0.2">
      <c r="A2075" s="224"/>
      <c r="B2075" s="247"/>
      <c r="C2075" s="15"/>
      <c r="D2075" s="156"/>
      <c r="E2075" s="605"/>
      <c r="F2075" s="156"/>
      <c r="G2075" s="224"/>
      <c r="H2075" s="156"/>
      <c r="I2075" s="156"/>
    </row>
    <row r="2076" spans="1:9" s="17" customFormat="1" ht="16.5" customHeight="1" x14ac:dyDescent="0.2">
      <c r="A2076" s="192" t="s">
        <v>48</v>
      </c>
      <c r="B2076" s="615" t="s">
        <v>49</v>
      </c>
      <c r="C2076" s="616"/>
      <c r="D2076" s="411" t="s">
        <v>85</v>
      </c>
      <c r="E2076" s="409" t="s">
        <v>152</v>
      </c>
      <c r="F2076" s="42" t="s">
        <v>86</v>
      </c>
      <c r="G2076" s="619" t="s">
        <v>52</v>
      </c>
      <c r="H2076" s="620"/>
      <c r="I2076" s="613" t="s">
        <v>53</v>
      </c>
    </row>
    <row r="2077" spans="1:9" s="17" customFormat="1" ht="16.5" customHeight="1" x14ac:dyDescent="0.2">
      <c r="A2077" s="193" t="s">
        <v>87</v>
      </c>
      <c r="B2077" s="617"/>
      <c r="C2077" s="618"/>
      <c r="D2077" s="412" t="s">
        <v>537</v>
      </c>
      <c r="E2077" s="44" t="s">
        <v>571</v>
      </c>
      <c r="F2077" s="44" t="s">
        <v>571</v>
      </c>
      <c r="G2077" s="29" t="s">
        <v>55</v>
      </c>
      <c r="H2077" s="29" t="s">
        <v>56</v>
      </c>
      <c r="I2077" s="614"/>
    </row>
    <row r="2078" spans="1:9" s="17" customFormat="1" ht="16.5" customHeight="1" x14ac:dyDescent="0.2">
      <c r="A2078" s="164">
        <v>1</v>
      </c>
      <c r="B2078" s="717">
        <v>2</v>
      </c>
      <c r="C2078" s="718"/>
      <c r="D2078" s="163">
        <v>3</v>
      </c>
      <c r="E2078" s="147">
        <v>4</v>
      </c>
      <c r="F2078" s="147">
        <v>5</v>
      </c>
      <c r="G2078" s="147">
        <v>6</v>
      </c>
      <c r="H2078" s="147">
        <v>7</v>
      </c>
      <c r="I2078" s="164">
        <v>8</v>
      </c>
    </row>
    <row r="2079" spans="1:9" s="17" customFormat="1" ht="16.5" customHeight="1" x14ac:dyDescent="0.2">
      <c r="A2079" s="86">
        <v>111</v>
      </c>
      <c r="B2079" s="601" t="s">
        <v>184</v>
      </c>
      <c r="C2079" s="602"/>
      <c r="D2079" s="6">
        <f>D632</f>
        <v>111611.17</v>
      </c>
      <c r="E2079" s="6">
        <f>E632</f>
        <v>108550.14</v>
      </c>
      <c r="F2079" s="6">
        <f>F632</f>
        <v>108550.14</v>
      </c>
      <c r="G2079" s="91">
        <f t="shared" ref="G2079:G2084" si="127">F2079/D2079</f>
        <v>0.97257416081204062</v>
      </c>
      <c r="H2079" s="92">
        <f t="shared" ref="H2079:H2084" si="128">F2079/E2079</f>
        <v>1</v>
      </c>
      <c r="I2079" s="92">
        <f>F2079/F2084</f>
        <v>0.36816352503690192</v>
      </c>
    </row>
    <row r="2080" spans="1:9" s="17" customFormat="1" ht="16.5" customHeight="1" x14ac:dyDescent="0.2">
      <c r="A2080" s="86">
        <v>130</v>
      </c>
      <c r="B2080" s="601" t="s">
        <v>185</v>
      </c>
      <c r="C2080" s="602"/>
      <c r="D2080" s="110">
        <f>D858</f>
        <v>18801.080000000002</v>
      </c>
      <c r="E2080" s="110">
        <f>E858</f>
        <v>16000</v>
      </c>
      <c r="F2080" s="110">
        <f>F858</f>
        <v>15616.52</v>
      </c>
      <c r="G2080" s="91">
        <f t="shared" si="127"/>
        <v>0.83061824107976767</v>
      </c>
      <c r="H2080" s="92">
        <f t="shared" si="128"/>
        <v>0.97603250000000008</v>
      </c>
      <c r="I2080" s="92">
        <f>F2080/F2084</f>
        <v>5.2965689883120191E-2</v>
      </c>
    </row>
    <row r="2081" spans="1:11" s="17" customFormat="1" ht="16.5" customHeight="1" x14ac:dyDescent="0.2">
      <c r="A2081" s="86">
        <v>132</v>
      </c>
      <c r="B2081" s="601" t="s">
        <v>186</v>
      </c>
      <c r="C2081" s="602"/>
      <c r="D2081" s="6">
        <f>D965</f>
        <v>0</v>
      </c>
      <c r="E2081" s="6">
        <f>E965</f>
        <v>0</v>
      </c>
      <c r="F2081" s="6">
        <f>F965</f>
        <v>0</v>
      </c>
      <c r="G2081" s="91" t="e">
        <f t="shared" si="127"/>
        <v>#DIV/0!</v>
      </c>
      <c r="H2081" s="92" t="e">
        <f t="shared" si="128"/>
        <v>#DIV/0!</v>
      </c>
      <c r="I2081" s="92">
        <f>F2081/F2084</f>
        <v>0</v>
      </c>
      <c r="K2081" s="454"/>
    </row>
    <row r="2082" spans="1:11" s="17" customFormat="1" ht="16.5" customHeight="1" x14ac:dyDescent="0.2">
      <c r="A2082" s="86">
        <v>200</v>
      </c>
      <c r="B2082" s="601" t="s">
        <v>187</v>
      </c>
      <c r="C2082" s="602"/>
      <c r="D2082" s="6">
        <f>D1078</f>
        <v>0</v>
      </c>
      <c r="E2082" s="6">
        <f>E1078</f>
        <v>0</v>
      </c>
      <c r="F2082" s="6">
        <f>F1078</f>
        <v>0</v>
      </c>
      <c r="G2082" s="91" t="e">
        <f t="shared" si="127"/>
        <v>#DIV/0!</v>
      </c>
      <c r="H2082" s="92" t="e">
        <f t="shared" si="128"/>
        <v>#DIV/0!</v>
      </c>
      <c r="I2082" s="92">
        <f>F2082/F2084</f>
        <v>0</v>
      </c>
    </row>
    <row r="2083" spans="1:11" s="17" customFormat="1" ht="16.5" customHeight="1" x14ac:dyDescent="0.2">
      <c r="A2083" s="86">
        <v>300</v>
      </c>
      <c r="B2083" s="601" t="s">
        <v>188</v>
      </c>
      <c r="C2083" s="602"/>
      <c r="D2083" s="6">
        <f>D1187</f>
        <v>229991</v>
      </c>
      <c r="E2083" s="6">
        <f>E1187</f>
        <v>180000</v>
      </c>
      <c r="F2083" s="6">
        <f>F1187</f>
        <v>170675.53</v>
      </c>
      <c r="G2083" s="91">
        <f t="shared" si="127"/>
        <v>0.74209656030018567</v>
      </c>
      <c r="H2083" s="92">
        <f t="shared" si="128"/>
        <v>0.94819738888888894</v>
      </c>
      <c r="I2083" s="92">
        <f>F2083/F2084</f>
        <v>0.57887078507997791</v>
      </c>
    </row>
    <row r="2084" spans="1:11" s="17" customFormat="1" ht="16.5" customHeight="1" x14ac:dyDescent="0.2">
      <c r="A2084" s="168"/>
      <c r="B2084" s="625" t="s">
        <v>83</v>
      </c>
      <c r="C2084" s="626"/>
      <c r="D2084" s="508">
        <f>D2079+D2080+D2081+D2082+D2083</f>
        <v>360403.25</v>
      </c>
      <c r="E2084" s="508">
        <f>E2079+E2080+E2081+E2082+E2083</f>
        <v>304550.14</v>
      </c>
      <c r="F2084" s="414">
        <f>F2079+F2080+F2081+F2082+F2083</f>
        <v>294842.19</v>
      </c>
      <c r="G2084" s="200">
        <f t="shared" si="127"/>
        <v>0.8180897092354189</v>
      </c>
      <c r="H2084" s="155">
        <f t="shared" si="128"/>
        <v>0.96812363967391379</v>
      </c>
      <c r="I2084" s="155">
        <f>SUM(I2079:I2083)</f>
        <v>1</v>
      </c>
    </row>
    <row r="2085" spans="1:11" s="17" customFormat="1" ht="16.5" customHeight="1" x14ac:dyDescent="0.2">
      <c r="A2085" s="201"/>
      <c r="B2085" s="202"/>
      <c r="C2085" s="202"/>
      <c r="D2085" s="325"/>
      <c r="E2085" s="325"/>
      <c r="F2085" s="203"/>
      <c r="G2085" s="204"/>
      <c r="H2085" s="223"/>
      <c r="I2085" s="320"/>
    </row>
    <row r="2086" spans="1:11" s="17" customFormat="1" ht="16.5" customHeight="1" x14ac:dyDescent="0.2">
      <c r="A2086" s="341"/>
      <c r="B2086" s="743" t="s">
        <v>893</v>
      </c>
      <c r="C2086" s="743"/>
      <c r="D2086" s="743"/>
      <c r="E2086" s="743"/>
      <c r="F2086" s="743"/>
      <c r="G2086" s="743"/>
      <c r="H2086" s="743"/>
      <c r="I2086" s="743"/>
    </row>
    <row r="2087" spans="1:11" s="17" customFormat="1" ht="18.75" customHeight="1" x14ac:dyDescent="0.2">
      <c r="A2087" s="743" t="s">
        <v>894</v>
      </c>
      <c r="B2087" s="743"/>
      <c r="C2087" s="743"/>
      <c r="D2087" s="743"/>
      <c r="E2087" s="743"/>
      <c r="F2087" s="743"/>
      <c r="G2087" s="743"/>
      <c r="H2087" s="743"/>
      <c r="I2087" s="743"/>
    </row>
    <row r="2088" spans="1:11" s="17" customFormat="1" ht="16.5" customHeight="1" x14ac:dyDescent="0.2">
      <c r="A2088" s="622" t="s">
        <v>895</v>
      </c>
      <c r="B2088" s="622"/>
      <c r="C2088" s="622"/>
      <c r="D2088" s="622"/>
      <c r="E2088" s="622"/>
      <c r="F2088" s="622"/>
      <c r="G2088" s="622"/>
      <c r="H2088" s="622"/>
      <c r="I2088" s="622"/>
    </row>
    <row r="2089" spans="1:11" s="17" customFormat="1" ht="16.5" customHeight="1" x14ac:dyDescent="0.2">
      <c r="A2089" s="622" t="s">
        <v>896</v>
      </c>
      <c r="B2089" s="622"/>
      <c r="C2089" s="622"/>
      <c r="D2089" s="622"/>
      <c r="E2089" s="622"/>
      <c r="F2089" s="622"/>
      <c r="G2089" s="622"/>
      <c r="H2089" s="622"/>
      <c r="I2089" s="622"/>
    </row>
    <row r="2090" spans="1:11" s="17" customFormat="1" ht="16.5" customHeight="1" x14ac:dyDescent="0.2">
      <c r="A2090" s="622" t="s">
        <v>897</v>
      </c>
      <c r="B2090" s="622"/>
      <c r="C2090" s="622"/>
      <c r="D2090" s="622"/>
      <c r="E2090" s="622"/>
      <c r="F2090" s="622"/>
      <c r="G2090" s="622"/>
      <c r="H2090" s="622"/>
      <c r="I2090" s="622"/>
    </row>
    <row r="2091" spans="1:11" s="17" customFormat="1" ht="16.5" customHeight="1" x14ac:dyDescent="0.2">
      <c r="A2091" s="622" t="s">
        <v>898</v>
      </c>
      <c r="B2091" s="622"/>
      <c r="C2091" s="622"/>
      <c r="D2091" s="622"/>
      <c r="E2091" s="622"/>
      <c r="F2091" s="622"/>
      <c r="G2091" s="622"/>
      <c r="H2091" s="622"/>
      <c r="I2091" s="622"/>
    </row>
    <row r="2092" spans="1:11" s="17" customFormat="1" ht="16.5" customHeight="1" x14ac:dyDescent="0.2">
      <c r="A2092" s="622" t="s">
        <v>899</v>
      </c>
      <c r="B2092" s="622"/>
      <c r="C2092" s="622"/>
      <c r="D2092" s="622"/>
      <c r="E2092" s="622"/>
      <c r="F2092" s="622"/>
      <c r="G2092" s="622"/>
      <c r="H2092" s="622"/>
      <c r="I2092" s="622"/>
    </row>
    <row r="2093" spans="1:11" s="17" customFormat="1" ht="16.5" customHeight="1" x14ac:dyDescent="0.2">
      <c r="A2093" s="20" t="s">
        <v>900</v>
      </c>
      <c r="B2093" s="20"/>
      <c r="C2093" s="20"/>
      <c r="D2093" s="20"/>
      <c r="E2093" s="20"/>
      <c r="F2093" s="20"/>
      <c r="G2093" s="20"/>
      <c r="H2093" s="20"/>
      <c r="I2093" s="20"/>
    </row>
    <row r="2094" spans="1:11" s="17" customFormat="1" ht="16.5" customHeight="1" x14ac:dyDescent="0.2">
      <c r="A2094" s="603" t="s">
        <v>901</v>
      </c>
      <c r="B2094" s="603"/>
      <c r="C2094" s="603"/>
      <c r="D2094" s="603"/>
      <c r="E2094" s="603"/>
      <c r="F2094" s="603"/>
      <c r="G2094" s="603"/>
      <c r="H2094" s="603"/>
      <c r="I2094" s="603"/>
    </row>
    <row r="2095" spans="1:11" s="17" customFormat="1" ht="16.5" customHeight="1" x14ac:dyDescent="0.2">
      <c r="A2095" s="21"/>
      <c r="B2095" s="21"/>
      <c r="C2095" s="21"/>
      <c r="D2095" s="21"/>
      <c r="E2095" s="21"/>
      <c r="F2095" s="21"/>
      <c r="G2095" s="21"/>
      <c r="H2095" s="21"/>
      <c r="I2095" s="21"/>
    </row>
    <row r="2096" spans="1:11" s="17" customFormat="1" ht="16.5" customHeight="1" x14ac:dyDescent="0.2">
      <c r="A2096" s="21"/>
      <c r="B2096" s="21"/>
      <c r="C2096" s="21"/>
      <c r="D2096" s="21"/>
      <c r="E2096" s="21"/>
      <c r="F2096" s="21"/>
      <c r="G2096" s="21"/>
      <c r="H2096" s="21"/>
      <c r="I2096" s="21"/>
    </row>
    <row r="2097" spans="1:9" s="17" customFormat="1" ht="16.5" customHeight="1" x14ac:dyDescent="0.2">
      <c r="A2097" s="21"/>
      <c r="B2097" s="21"/>
      <c r="C2097" s="21"/>
      <c r="D2097" s="21"/>
      <c r="E2097" s="21"/>
      <c r="F2097" s="21"/>
      <c r="G2097" s="21"/>
      <c r="H2097" s="21"/>
      <c r="I2097" s="21"/>
    </row>
    <row r="2098" spans="1:9" s="17" customFormat="1" ht="16.5" customHeight="1" x14ac:dyDescent="0.2">
      <c r="A2098" s="21"/>
      <c r="B2098" s="21"/>
      <c r="C2098" s="21"/>
      <c r="D2098" s="21"/>
      <c r="E2098" s="21"/>
      <c r="F2098" s="21"/>
      <c r="G2098" s="21"/>
      <c r="H2098" s="21"/>
      <c r="I2098" s="21"/>
    </row>
    <row r="2099" spans="1:9" s="17" customFormat="1" ht="16.5" customHeight="1" x14ac:dyDescent="0.2">
      <c r="A2099" s="21"/>
      <c r="B2099" s="21"/>
      <c r="C2099" s="21"/>
      <c r="D2099" s="21"/>
      <c r="E2099" s="21"/>
      <c r="F2099" s="21"/>
      <c r="G2099" s="21"/>
      <c r="H2099" s="21"/>
      <c r="I2099" s="21"/>
    </row>
    <row r="2100" spans="1:9" s="17" customFormat="1" ht="16.5" customHeight="1" x14ac:dyDescent="0.2">
      <c r="A2100" s="21"/>
      <c r="B2100" s="21"/>
      <c r="C2100" s="21"/>
      <c r="D2100" s="21"/>
      <c r="E2100" s="21"/>
      <c r="F2100" s="21"/>
      <c r="G2100" s="21"/>
      <c r="H2100" s="21"/>
      <c r="I2100" s="21"/>
    </row>
    <row r="2101" spans="1:9" s="17" customFormat="1" ht="16.5" customHeight="1" x14ac:dyDescent="0.2">
      <c r="A2101" s="21"/>
      <c r="B2101" s="21"/>
      <c r="C2101" s="21"/>
      <c r="D2101" s="21"/>
      <c r="E2101" s="21"/>
      <c r="F2101" s="21"/>
      <c r="G2101" s="21"/>
      <c r="H2101" s="21"/>
      <c r="I2101" s="21"/>
    </row>
    <row r="2102" spans="1:9" s="17" customFormat="1" ht="16.5" customHeight="1" x14ac:dyDescent="0.2">
      <c r="A2102" s="21"/>
      <c r="B2102" s="21"/>
      <c r="C2102" s="21"/>
      <c r="D2102" s="21"/>
      <c r="E2102" s="21"/>
      <c r="F2102" s="21"/>
      <c r="G2102" s="21"/>
      <c r="H2102" s="21"/>
      <c r="I2102" s="21"/>
    </row>
    <row r="2103" spans="1:9" s="17" customFormat="1" ht="16.5" customHeight="1" x14ac:dyDescent="0.2">
      <c r="A2103" s="21"/>
      <c r="B2103" s="21"/>
      <c r="C2103" s="21"/>
      <c r="D2103" s="21"/>
      <c r="E2103" s="21"/>
      <c r="F2103" s="21"/>
      <c r="G2103" s="21"/>
      <c r="H2103" s="21"/>
      <c r="I2103" s="21"/>
    </row>
    <row r="2104" spans="1:9" s="17" customFormat="1" ht="16.5" customHeight="1" x14ac:dyDescent="0.2">
      <c r="A2104" s="21"/>
      <c r="B2104" s="21"/>
      <c r="C2104" s="21"/>
      <c r="D2104" s="21"/>
      <c r="E2104" s="21"/>
      <c r="F2104" s="21"/>
      <c r="G2104" s="21"/>
      <c r="H2104" s="21"/>
      <c r="I2104" s="21"/>
    </row>
    <row r="2105" spans="1:9" s="17" customFormat="1" ht="16.5" customHeight="1" x14ac:dyDescent="0.2">
      <c r="A2105" s="21"/>
      <c r="B2105" s="21"/>
      <c r="C2105" s="21"/>
      <c r="D2105" s="21"/>
      <c r="E2105" s="21"/>
      <c r="F2105" s="21"/>
      <c r="G2105" s="21"/>
      <c r="H2105" s="21"/>
      <c r="I2105" s="21"/>
    </row>
    <row r="2106" spans="1:9" s="17" customFormat="1" ht="16.5" customHeight="1" x14ac:dyDescent="0.2">
      <c r="A2106" s="21"/>
      <c r="B2106" s="21"/>
      <c r="C2106" s="21"/>
      <c r="D2106" s="21"/>
      <c r="E2106" s="21"/>
      <c r="F2106" s="21"/>
      <c r="G2106" s="21"/>
      <c r="H2106" s="21"/>
      <c r="I2106" s="21"/>
    </row>
    <row r="2107" spans="1:9" s="17" customFormat="1" ht="16.5" customHeight="1" x14ac:dyDescent="0.2">
      <c r="A2107" s="156"/>
      <c r="B2107" s="156"/>
      <c r="C2107" s="156"/>
      <c r="D2107" s="156"/>
      <c r="E2107" s="156"/>
      <c r="F2107" s="156"/>
      <c r="G2107" s="156"/>
      <c r="H2107" s="156"/>
      <c r="I2107" s="304">
        <v>37</v>
      </c>
    </row>
    <row r="2108" spans="1:9" s="17" customFormat="1" ht="16.5" customHeight="1" x14ac:dyDescent="0.2">
      <c r="A2108" s="156"/>
      <c r="B2108" s="156"/>
      <c r="C2108" s="156"/>
      <c r="D2108" s="156"/>
      <c r="E2108" s="156"/>
      <c r="F2108" s="156"/>
      <c r="G2108" s="156"/>
      <c r="H2108" s="156"/>
      <c r="I2108" s="249"/>
    </row>
    <row r="2109" spans="1:9" s="17" customFormat="1" ht="16.5" customHeight="1" x14ac:dyDescent="0.2">
      <c r="A2109" s="156"/>
      <c r="B2109" s="156"/>
      <c r="C2109" s="156"/>
      <c r="D2109" s="156"/>
      <c r="E2109" s="156"/>
      <c r="F2109" s="156"/>
      <c r="G2109" s="156"/>
      <c r="H2109" s="156"/>
      <c r="I2109" s="304"/>
    </row>
    <row r="2110" spans="1:9" s="17" customFormat="1" ht="16.5" customHeight="1" x14ac:dyDescent="0.2">
      <c r="A2110" s="279"/>
      <c r="B2110" s="635" t="s">
        <v>354</v>
      </c>
      <c r="C2110" s="635"/>
      <c r="D2110" s="635"/>
      <c r="E2110" s="279"/>
      <c r="F2110" s="279"/>
      <c r="G2110" s="20"/>
      <c r="H2110" s="297"/>
      <c r="I2110" s="41"/>
    </row>
    <row r="2111" spans="1:9" s="17" customFormat="1" ht="16.5" customHeight="1" x14ac:dyDescent="0.2">
      <c r="A2111" s="279"/>
      <c r="B2111" s="296"/>
      <c r="C2111" s="296"/>
      <c r="D2111" s="296"/>
      <c r="E2111" s="279"/>
      <c r="F2111" s="279"/>
      <c r="G2111" s="20"/>
      <c r="H2111" s="297"/>
      <c r="I2111" s="280"/>
    </row>
    <row r="2112" spans="1:9" s="17" customFormat="1" ht="16.5" customHeight="1" x14ac:dyDescent="0.2">
      <c r="A2112" s="623" t="s">
        <v>902</v>
      </c>
      <c r="B2112" s="623"/>
      <c r="C2112" s="623"/>
      <c r="D2112" s="623"/>
      <c r="E2112" s="623"/>
      <c r="F2112" s="623"/>
      <c r="G2112" s="623"/>
      <c r="H2112" s="623"/>
      <c r="I2112" s="623"/>
    </row>
    <row r="2113" spans="1:9" s="17" customFormat="1" ht="16.5" customHeight="1" x14ac:dyDescent="0.2">
      <c r="A2113" s="627" t="s">
        <v>903</v>
      </c>
      <c r="B2113" s="627"/>
      <c r="C2113" s="627"/>
      <c r="D2113" s="627"/>
      <c r="E2113" s="627"/>
      <c r="F2113" s="627"/>
      <c r="G2113" s="627"/>
      <c r="H2113" s="627"/>
      <c r="I2113" s="627"/>
    </row>
    <row r="2114" spans="1:9" s="17" customFormat="1" ht="16.5" customHeight="1" x14ac:dyDescent="0.2">
      <c r="A2114" s="224"/>
      <c r="B2114" s="247"/>
      <c r="C2114" s="15"/>
      <c r="D2114" s="156"/>
      <c r="E2114" s="605" t="s">
        <v>84</v>
      </c>
      <c r="F2114" s="156"/>
      <c r="G2114" s="224"/>
      <c r="H2114" s="156"/>
      <c r="I2114" s="156"/>
    </row>
    <row r="2115" spans="1:9" s="17" customFormat="1" ht="16.5" customHeight="1" x14ac:dyDescent="0.2">
      <c r="A2115" s="224"/>
      <c r="B2115" s="247"/>
      <c r="C2115" s="15"/>
      <c r="D2115" s="156"/>
      <c r="E2115" s="606"/>
      <c r="F2115" s="156"/>
      <c r="G2115" s="224"/>
      <c r="H2115" s="156"/>
      <c r="I2115" s="156"/>
    </row>
    <row r="2116" spans="1:9" s="17" customFormat="1" ht="16.5" customHeight="1" x14ac:dyDescent="0.2">
      <c r="A2116" s="192" t="s">
        <v>48</v>
      </c>
      <c r="B2116" s="615" t="s">
        <v>49</v>
      </c>
      <c r="C2116" s="616"/>
      <c r="D2116" s="411" t="s">
        <v>85</v>
      </c>
      <c r="E2116" s="409" t="s">
        <v>152</v>
      </c>
      <c r="F2116" s="42" t="s">
        <v>86</v>
      </c>
      <c r="G2116" s="619" t="s">
        <v>52</v>
      </c>
      <c r="H2116" s="620"/>
      <c r="I2116" s="613" t="s">
        <v>53</v>
      </c>
    </row>
    <row r="2117" spans="1:9" s="17" customFormat="1" ht="12" customHeight="1" x14ac:dyDescent="0.2">
      <c r="A2117" s="193" t="s">
        <v>87</v>
      </c>
      <c r="B2117" s="617"/>
      <c r="C2117" s="618"/>
      <c r="D2117" s="412" t="s">
        <v>537</v>
      </c>
      <c r="E2117" s="44" t="s">
        <v>571</v>
      </c>
      <c r="F2117" s="44" t="s">
        <v>571</v>
      </c>
      <c r="G2117" s="29" t="s">
        <v>55</v>
      </c>
      <c r="H2117" s="29" t="s">
        <v>56</v>
      </c>
      <c r="I2117" s="614"/>
    </row>
    <row r="2118" spans="1:9" s="17" customFormat="1" ht="12" customHeight="1" x14ac:dyDescent="0.2">
      <c r="A2118" s="164">
        <v>1</v>
      </c>
      <c r="B2118" s="717">
        <v>2</v>
      </c>
      <c r="C2118" s="718"/>
      <c r="D2118" s="163">
        <v>3</v>
      </c>
      <c r="E2118" s="147">
        <v>4</v>
      </c>
      <c r="F2118" s="147">
        <v>5</v>
      </c>
      <c r="G2118" s="147">
        <v>6</v>
      </c>
      <c r="H2118" s="147">
        <v>7</v>
      </c>
      <c r="I2118" s="164">
        <v>8</v>
      </c>
    </row>
    <row r="2119" spans="1:9" s="17" customFormat="1" ht="16.5" customHeight="1" x14ac:dyDescent="0.2">
      <c r="A2119" s="86">
        <v>111</v>
      </c>
      <c r="B2119" s="601" t="s">
        <v>184</v>
      </c>
      <c r="C2119" s="602"/>
      <c r="D2119" s="6">
        <f>D634</f>
        <v>32367.73</v>
      </c>
      <c r="E2119" s="6">
        <f>E634</f>
        <v>33228.870000000003</v>
      </c>
      <c r="F2119" s="6">
        <f>F634</f>
        <v>33228.870000000003</v>
      </c>
      <c r="G2119" s="91">
        <f t="shared" ref="G2119:G2124" si="129">F2119/D2119</f>
        <v>1.0266048932069072</v>
      </c>
      <c r="H2119" s="92">
        <f t="shared" ref="H2119:H2124" si="130">F2119/E2119</f>
        <v>1</v>
      </c>
      <c r="I2119" s="92">
        <f>F2119/F2124</f>
        <v>0.87308125134165593</v>
      </c>
    </row>
    <row r="2120" spans="1:9" s="17" customFormat="1" ht="16.5" customHeight="1" x14ac:dyDescent="0.2">
      <c r="A2120" s="86">
        <v>130</v>
      </c>
      <c r="B2120" s="601" t="s">
        <v>185</v>
      </c>
      <c r="C2120" s="602"/>
      <c r="D2120" s="110">
        <f>D860</f>
        <v>4974.16</v>
      </c>
      <c r="E2120" s="110">
        <f>E860</f>
        <v>5000</v>
      </c>
      <c r="F2120" s="110">
        <f>F860</f>
        <v>4830.4399999999996</v>
      </c>
      <c r="G2120" s="91">
        <f t="shared" si="129"/>
        <v>0.97110667931871908</v>
      </c>
      <c r="H2120" s="92">
        <f t="shared" si="130"/>
        <v>0.96608799999999995</v>
      </c>
      <c r="I2120" s="92">
        <f>F2120/F2124</f>
        <v>0.12691874865834402</v>
      </c>
    </row>
    <row r="2121" spans="1:9" s="17" customFormat="1" ht="16.5" customHeight="1" x14ac:dyDescent="0.2">
      <c r="A2121" s="86">
        <v>132</v>
      </c>
      <c r="B2121" s="601" t="s">
        <v>186</v>
      </c>
      <c r="C2121" s="602"/>
      <c r="D2121" s="6">
        <f>D967</f>
        <v>0</v>
      </c>
      <c r="E2121" s="6">
        <f>E967</f>
        <v>0</v>
      </c>
      <c r="F2121" s="6">
        <f>F967</f>
        <v>0</v>
      </c>
      <c r="G2121" s="91" t="e">
        <f t="shared" si="129"/>
        <v>#DIV/0!</v>
      </c>
      <c r="H2121" s="92" t="e">
        <f t="shared" si="130"/>
        <v>#DIV/0!</v>
      </c>
      <c r="I2121" s="92">
        <f>F2121/F2124</f>
        <v>0</v>
      </c>
    </row>
    <row r="2122" spans="1:9" s="17" customFormat="1" ht="16.5" customHeight="1" x14ac:dyDescent="0.2">
      <c r="A2122" s="86">
        <v>200</v>
      </c>
      <c r="B2122" s="601" t="s">
        <v>187</v>
      </c>
      <c r="C2122" s="602"/>
      <c r="D2122" s="6">
        <f>D1080</f>
        <v>40000</v>
      </c>
      <c r="E2122" s="6">
        <f>E1080</f>
        <v>0</v>
      </c>
      <c r="F2122" s="6">
        <f>F1080</f>
        <v>0</v>
      </c>
      <c r="G2122" s="91">
        <f t="shared" si="129"/>
        <v>0</v>
      </c>
      <c r="H2122" s="92" t="e">
        <f t="shared" si="130"/>
        <v>#DIV/0!</v>
      </c>
      <c r="I2122" s="92">
        <f>F2122/F2124</f>
        <v>0</v>
      </c>
    </row>
    <row r="2123" spans="1:9" s="17" customFormat="1" ht="16.5" customHeight="1" x14ac:dyDescent="0.2">
      <c r="A2123" s="86">
        <v>300</v>
      </c>
      <c r="B2123" s="601" t="s">
        <v>188</v>
      </c>
      <c r="C2123" s="602"/>
      <c r="D2123" s="6">
        <f>D1189</f>
        <v>0</v>
      </c>
      <c r="E2123" s="6">
        <f>E1189</f>
        <v>0</v>
      </c>
      <c r="F2123" s="6">
        <f>F1189</f>
        <v>0</v>
      </c>
      <c r="G2123" s="91" t="e">
        <f t="shared" si="129"/>
        <v>#DIV/0!</v>
      </c>
      <c r="H2123" s="92" t="e">
        <f t="shared" si="130"/>
        <v>#DIV/0!</v>
      </c>
      <c r="I2123" s="92">
        <f>F2123/F2124</f>
        <v>0</v>
      </c>
    </row>
    <row r="2124" spans="1:9" s="17" customFormat="1" ht="16.5" customHeight="1" x14ac:dyDescent="0.2">
      <c r="A2124" s="168"/>
      <c r="B2124" s="342" t="s">
        <v>83</v>
      </c>
      <c r="C2124" s="343"/>
      <c r="D2124" s="508">
        <f>D2119+D2120+D2121+D2122+D2123</f>
        <v>77341.89</v>
      </c>
      <c r="E2124" s="508">
        <f>E2119+E2120+E2121+E2122+E2123</f>
        <v>38228.870000000003</v>
      </c>
      <c r="F2124" s="414">
        <f>F2119+F2120+F2121+F2122+F2123</f>
        <v>38059.310000000005</v>
      </c>
      <c r="G2124" s="200">
        <f t="shared" si="129"/>
        <v>0.49209180173900591</v>
      </c>
      <c r="H2124" s="155">
        <f t="shared" si="130"/>
        <v>0.99556460863216734</v>
      </c>
      <c r="I2124" s="206">
        <f>SUM(I2119:I2123)</f>
        <v>1</v>
      </c>
    </row>
    <row r="2125" spans="1:9" s="17" customFormat="1" ht="16.5" customHeight="1" x14ac:dyDescent="0.2">
      <c r="A2125" s="314"/>
      <c r="B2125" s="314"/>
      <c r="C2125" s="314"/>
      <c r="D2125" s="314"/>
      <c r="E2125" s="314"/>
      <c r="F2125" s="314"/>
      <c r="G2125" s="156"/>
      <c r="H2125" s="20"/>
      <c r="I2125" s="315"/>
    </row>
    <row r="2126" spans="1:9" s="17" customFormat="1" ht="16.5" customHeight="1" x14ac:dyDescent="0.2">
      <c r="A2126" s="156" t="s">
        <v>904</v>
      </c>
      <c r="B2126" s="156"/>
      <c r="C2126" s="156"/>
      <c r="D2126" s="156"/>
      <c r="E2126" s="156"/>
      <c r="F2126" s="156"/>
      <c r="G2126" s="156"/>
      <c r="H2126" s="156"/>
      <c r="I2126" s="156"/>
    </row>
    <row r="2127" spans="1:9" s="17" customFormat="1" ht="16.5" customHeight="1" x14ac:dyDescent="0.2">
      <c r="A2127" s="621" t="s">
        <v>905</v>
      </c>
      <c r="B2127" s="621"/>
      <c r="C2127" s="621"/>
      <c r="D2127" s="621"/>
      <c r="E2127" s="621"/>
      <c r="F2127" s="621"/>
      <c r="G2127" s="621"/>
      <c r="H2127" s="621"/>
      <c r="I2127" s="621"/>
    </row>
    <row r="2128" spans="1:9" s="17" customFormat="1" ht="12" customHeight="1" x14ac:dyDescent="0.2">
      <c r="A2128" s="621" t="s">
        <v>906</v>
      </c>
      <c r="B2128" s="621"/>
      <c r="C2128" s="621"/>
      <c r="D2128" s="621"/>
      <c r="E2128" s="621"/>
      <c r="F2128" s="621"/>
      <c r="G2128" s="621"/>
      <c r="H2128" s="621"/>
      <c r="I2128" s="621"/>
    </row>
    <row r="2129" spans="1:9" s="17" customFormat="1" ht="16.5" customHeight="1" x14ac:dyDescent="0.2">
      <c r="A2129" s="621" t="s">
        <v>907</v>
      </c>
      <c r="B2129" s="621"/>
      <c r="C2129" s="621"/>
      <c r="D2129" s="621"/>
      <c r="E2129" s="621"/>
      <c r="F2129" s="621"/>
      <c r="G2129" s="621"/>
      <c r="H2129" s="621"/>
      <c r="I2129" s="621"/>
    </row>
    <row r="2130" spans="1:9" s="17" customFormat="1" ht="16.5" customHeight="1" x14ac:dyDescent="0.2">
      <c r="A2130" s="621" t="s">
        <v>908</v>
      </c>
      <c r="B2130" s="621"/>
      <c r="C2130" s="621"/>
      <c r="D2130" s="621"/>
      <c r="E2130" s="621"/>
      <c r="F2130" s="621"/>
      <c r="G2130" s="621"/>
      <c r="H2130" s="621"/>
      <c r="I2130" s="621"/>
    </row>
    <row r="2131" spans="1:9" s="17" customFormat="1" ht="16.5" customHeight="1" x14ac:dyDescent="0.2">
      <c r="A2131" s="145"/>
      <c r="B2131" s="145"/>
      <c r="C2131" s="145"/>
      <c r="D2131" s="145"/>
      <c r="E2131" s="145"/>
      <c r="F2131" s="145"/>
      <c r="G2131" s="145"/>
      <c r="H2131" s="145"/>
      <c r="I2131" s="145"/>
    </row>
    <row r="2132" spans="1:9" s="17" customFormat="1" ht="16.5" customHeight="1" x14ac:dyDescent="0.2">
      <c r="A2132" s="145"/>
      <c r="B2132" s="145"/>
      <c r="C2132" s="145"/>
      <c r="D2132" s="145"/>
      <c r="E2132" s="145"/>
      <c r="F2132" s="145"/>
      <c r="G2132" s="145"/>
      <c r="H2132" s="145"/>
      <c r="I2132" s="145"/>
    </row>
    <row r="2133" spans="1:9" s="17" customFormat="1" ht="16.5" customHeight="1" x14ac:dyDescent="0.2">
      <c r="A2133" s="145"/>
      <c r="B2133" s="145"/>
      <c r="C2133" s="145"/>
      <c r="D2133" s="145"/>
      <c r="E2133" s="145"/>
      <c r="F2133" s="145"/>
      <c r="G2133" s="145"/>
      <c r="H2133" s="145"/>
      <c r="I2133" s="145"/>
    </row>
    <row r="2134" spans="1:9" s="17" customFormat="1" ht="16.5" customHeight="1" x14ac:dyDescent="0.2">
      <c r="A2134" s="145"/>
      <c r="B2134" s="145"/>
      <c r="C2134" s="145"/>
      <c r="D2134" s="145"/>
      <c r="E2134" s="145"/>
      <c r="F2134" s="145"/>
      <c r="G2134" s="145"/>
      <c r="H2134" s="145"/>
      <c r="I2134" s="145"/>
    </row>
    <row r="2135" spans="1:9" s="17" customFormat="1" ht="16.5" customHeight="1" x14ac:dyDescent="0.2">
      <c r="A2135" s="145"/>
      <c r="B2135" s="145"/>
      <c r="C2135" s="145"/>
      <c r="D2135" s="145"/>
      <c r="E2135" s="145"/>
      <c r="F2135" s="145"/>
      <c r="G2135" s="145"/>
      <c r="H2135" s="145"/>
      <c r="I2135" s="145"/>
    </row>
    <row r="2136" spans="1:9" s="17" customFormat="1" ht="16.5" customHeight="1" x14ac:dyDescent="0.2">
      <c r="A2136" s="145"/>
      <c r="B2136" s="145"/>
      <c r="C2136" s="145"/>
      <c r="D2136" s="145"/>
      <c r="E2136" s="145"/>
      <c r="F2136" s="145"/>
      <c r="G2136" s="145"/>
      <c r="H2136" s="145"/>
      <c r="I2136" s="145"/>
    </row>
    <row r="2137" spans="1:9" s="17" customFormat="1" ht="16.5" customHeight="1" x14ac:dyDescent="0.2">
      <c r="A2137" s="145"/>
      <c r="B2137" s="145"/>
      <c r="C2137" s="145"/>
      <c r="D2137" s="145"/>
      <c r="E2137" s="145"/>
      <c r="F2137" s="145"/>
      <c r="G2137" s="145"/>
      <c r="H2137" s="145"/>
      <c r="I2137" s="145"/>
    </row>
    <row r="2138" spans="1:9" s="17" customFormat="1" ht="16.5" customHeight="1" x14ac:dyDescent="0.2">
      <c r="A2138" s="145"/>
      <c r="B2138" s="145"/>
      <c r="C2138" s="145"/>
      <c r="D2138" s="145"/>
      <c r="E2138" s="145"/>
      <c r="F2138" s="145"/>
      <c r="G2138" s="145"/>
      <c r="H2138" s="145"/>
      <c r="I2138" s="145"/>
    </row>
    <row r="2139" spans="1:9" s="17" customFormat="1" ht="16.5" customHeight="1" x14ac:dyDescent="0.2">
      <c r="A2139" s="145"/>
      <c r="B2139" s="145"/>
      <c r="C2139" s="145"/>
      <c r="D2139" s="145"/>
      <c r="E2139" s="145"/>
      <c r="F2139" s="145"/>
      <c r="G2139" s="145"/>
      <c r="H2139" s="145"/>
      <c r="I2139" s="145"/>
    </row>
    <row r="2140" spans="1:9" s="17" customFormat="1" ht="16.5" customHeight="1" x14ac:dyDescent="0.2">
      <c r="A2140" s="145"/>
      <c r="B2140" s="145"/>
      <c r="C2140" s="145"/>
      <c r="D2140" s="145"/>
      <c r="E2140" s="145"/>
      <c r="F2140" s="145"/>
      <c r="G2140" s="145"/>
      <c r="H2140" s="145"/>
      <c r="I2140" s="145"/>
    </row>
    <row r="2141" spans="1:9" s="17" customFormat="1" ht="16.5" customHeight="1" x14ac:dyDescent="0.2">
      <c r="A2141" s="145"/>
      <c r="B2141" s="145"/>
      <c r="C2141" s="145"/>
      <c r="D2141" s="145"/>
      <c r="E2141" s="145"/>
      <c r="F2141" s="145"/>
      <c r="G2141" s="145"/>
      <c r="H2141" s="145"/>
      <c r="I2141" s="145"/>
    </row>
    <row r="2142" spans="1:9" s="17" customFormat="1" ht="16.5" customHeight="1" x14ac:dyDescent="0.2">
      <c r="A2142" s="145"/>
      <c r="B2142" s="145"/>
      <c r="C2142" s="145"/>
      <c r="D2142" s="145"/>
      <c r="E2142" s="145"/>
      <c r="F2142" s="145"/>
      <c r="G2142" s="145"/>
      <c r="H2142" s="145"/>
      <c r="I2142" s="145"/>
    </row>
    <row r="2143" spans="1:9" s="17" customFormat="1" ht="16.5" customHeight="1" x14ac:dyDescent="0.2">
      <c r="A2143" s="145"/>
      <c r="B2143" s="145"/>
      <c r="C2143" s="145"/>
      <c r="D2143" s="145"/>
      <c r="E2143" s="145"/>
      <c r="F2143" s="145"/>
      <c r="G2143" s="145"/>
      <c r="H2143" s="145"/>
      <c r="I2143" s="145"/>
    </row>
    <row r="2144" spans="1:9" s="17" customFormat="1" ht="16.5" customHeight="1" x14ac:dyDescent="0.2">
      <c r="A2144" s="145"/>
      <c r="B2144" s="145"/>
      <c r="C2144" s="145"/>
      <c r="D2144" s="145"/>
      <c r="E2144" s="145"/>
      <c r="F2144" s="145"/>
      <c r="G2144" s="145"/>
      <c r="H2144" s="145"/>
      <c r="I2144" s="145"/>
    </row>
    <row r="2145" spans="1:9" s="17" customFormat="1" ht="16.5" customHeight="1" x14ac:dyDescent="0.2">
      <c r="A2145" s="145"/>
      <c r="B2145" s="145"/>
      <c r="C2145" s="145"/>
      <c r="D2145" s="145"/>
      <c r="E2145" s="145"/>
      <c r="F2145" s="145"/>
      <c r="G2145" s="145"/>
      <c r="H2145" s="145"/>
      <c r="I2145" s="145"/>
    </row>
    <row r="2146" spans="1:9" s="17" customFormat="1" ht="16.5" customHeight="1" x14ac:dyDescent="0.2">
      <c r="A2146" s="145"/>
      <c r="B2146" s="145"/>
      <c r="C2146" s="145"/>
      <c r="D2146" s="145"/>
      <c r="E2146" s="145"/>
      <c r="F2146" s="145"/>
      <c r="G2146" s="145"/>
      <c r="H2146" s="145"/>
      <c r="I2146" s="145"/>
    </row>
    <row r="2147" spans="1:9" s="17" customFormat="1" ht="16.5" customHeight="1" x14ac:dyDescent="0.2">
      <c r="A2147" s="145"/>
      <c r="B2147" s="145"/>
      <c r="C2147" s="145"/>
      <c r="D2147" s="145"/>
      <c r="E2147" s="145"/>
      <c r="F2147" s="145"/>
      <c r="G2147" s="145"/>
      <c r="H2147" s="145"/>
      <c r="I2147" s="145"/>
    </row>
    <row r="2148" spans="1:9" s="17" customFormat="1" ht="16.5" customHeight="1" x14ac:dyDescent="0.2">
      <c r="A2148" s="145"/>
      <c r="B2148" s="145"/>
      <c r="C2148" s="145"/>
      <c r="D2148" s="145"/>
      <c r="E2148" s="145"/>
      <c r="F2148" s="145"/>
      <c r="G2148" s="145"/>
      <c r="H2148" s="145"/>
      <c r="I2148" s="145"/>
    </row>
    <row r="2149" spans="1:9" s="17" customFormat="1" ht="16.5" customHeight="1" x14ac:dyDescent="0.2">
      <c r="A2149" s="145"/>
      <c r="B2149" s="145"/>
      <c r="C2149" s="145"/>
      <c r="D2149" s="145"/>
      <c r="E2149" s="145"/>
      <c r="F2149" s="145"/>
      <c r="G2149" s="145"/>
      <c r="H2149" s="145"/>
      <c r="I2149" s="145"/>
    </row>
    <row r="2150" spans="1:9" s="17" customFormat="1" ht="16.5" customHeight="1" x14ac:dyDescent="0.2">
      <c r="A2150" s="145"/>
      <c r="B2150" s="145"/>
      <c r="C2150" s="145"/>
      <c r="D2150" s="145"/>
      <c r="E2150" s="145"/>
      <c r="F2150" s="145"/>
      <c r="G2150" s="145"/>
      <c r="H2150" s="145"/>
      <c r="I2150" s="145"/>
    </row>
    <row r="2151" spans="1:9" s="17" customFormat="1" ht="16.5" customHeight="1" x14ac:dyDescent="0.2">
      <c r="A2151" s="145"/>
      <c r="B2151" s="145"/>
      <c r="C2151" s="145"/>
      <c r="D2151" s="145"/>
      <c r="E2151" s="145"/>
      <c r="F2151" s="145"/>
      <c r="G2151" s="145"/>
      <c r="H2151" s="145"/>
      <c r="I2151" s="145"/>
    </row>
    <row r="2152" spans="1:9" s="17" customFormat="1" ht="16.5" customHeight="1" x14ac:dyDescent="0.2">
      <c r="A2152" s="145"/>
      <c r="B2152" s="145"/>
      <c r="C2152" s="145"/>
      <c r="D2152" s="145"/>
      <c r="E2152" s="145"/>
      <c r="F2152" s="145"/>
      <c r="G2152" s="145"/>
      <c r="H2152" s="145"/>
      <c r="I2152" s="145"/>
    </row>
    <row r="2153" spans="1:9" s="17" customFormat="1" ht="16.5" customHeight="1" x14ac:dyDescent="0.2">
      <c r="A2153" s="145"/>
      <c r="B2153" s="145"/>
      <c r="C2153" s="145"/>
      <c r="D2153" s="145"/>
      <c r="E2153" s="145"/>
      <c r="F2153" s="145"/>
      <c r="G2153" s="145"/>
      <c r="H2153" s="145"/>
      <c r="I2153" s="145"/>
    </row>
    <row r="2154" spans="1:9" s="17" customFormat="1" ht="16.5" customHeight="1" x14ac:dyDescent="0.2">
      <c r="A2154" s="145"/>
      <c r="B2154" s="145"/>
      <c r="C2154" s="145"/>
      <c r="D2154" s="145"/>
      <c r="E2154" s="145"/>
      <c r="F2154" s="145"/>
      <c r="G2154" s="145"/>
      <c r="H2154" s="145"/>
      <c r="I2154" s="145"/>
    </row>
    <row r="2155" spans="1:9" s="17" customFormat="1" ht="16.5" customHeight="1" x14ac:dyDescent="0.2">
      <c r="A2155" s="145"/>
      <c r="B2155" s="145"/>
      <c r="C2155" s="145"/>
      <c r="D2155" s="145"/>
      <c r="E2155" s="145"/>
      <c r="F2155" s="145"/>
      <c r="G2155" s="145"/>
      <c r="H2155" s="145"/>
      <c r="I2155" s="145"/>
    </row>
    <row r="2156" spans="1:9" s="17" customFormat="1" ht="16.5" customHeight="1" x14ac:dyDescent="0.2">
      <c r="A2156" s="145"/>
      <c r="B2156" s="145"/>
      <c r="C2156" s="145"/>
      <c r="D2156" s="145"/>
      <c r="E2156" s="145"/>
      <c r="F2156" s="145"/>
      <c r="G2156" s="145"/>
      <c r="H2156" s="145"/>
      <c r="I2156" s="145"/>
    </row>
    <row r="2157" spans="1:9" s="17" customFormat="1" ht="16.5" customHeight="1" x14ac:dyDescent="0.2">
      <c r="A2157" s="145"/>
      <c r="B2157" s="145"/>
      <c r="C2157" s="145"/>
      <c r="D2157" s="145"/>
      <c r="E2157" s="145"/>
      <c r="F2157" s="145"/>
      <c r="G2157" s="145"/>
      <c r="H2157" s="145"/>
      <c r="I2157" s="145"/>
    </row>
    <row r="2158" spans="1:9" s="17" customFormat="1" ht="16.5" customHeight="1" x14ac:dyDescent="0.2">
      <c r="A2158" s="145"/>
      <c r="B2158" s="145"/>
      <c r="C2158" s="145"/>
      <c r="D2158" s="145"/>
      <c r="E2158" s="145"/>
      <c r="F2158" s="145"/>
      <c r="G2158" s="145"/>
      <c r="H2158" s="145"/>
      <c r="I2158" s="145"/>
    </row>
    <row r="2159" spans="1:9" s="17" customFormat="1" ht="16.5" customHeight="1" x14ac:dyDescent="0.2">
      <c r="A2159" s="145"/>
      <c r="B2159" s="145"/>
      <c r="C2159" s="145"/>
      <c r="D2159" s="145"/>
      <c r="E2159" s="145"/>
      <c r="F2159" s="145"/>
      <c r="G2159" s="145"/>
      <c r="H2159" s="145"/>
      <c r="I2159" s="145"/>
    </row>
    <row r="2160" spans="1:9" s="17" customFormat="1" ht="16.5" customHeight="1" x14ac:dyDescent="0.2">
      <c r="A2160" s="145"/>
      <c r="B2160" s="145"/>
      <c r="C2160" s="145"/>
      <c r="D2160" s="145"/>
      <c r="E2160" s="145"/>
      <c r="F2160" s="145"/>
      <c r="G2160" s="145"/>
      <c r="H2160" s="145"/>
      <c r="I2160" s="145"/>
    </row>
    <row r="2161" spans="1:9" s="17" customFormat="1" ht="16.5" customHeight="1" x14ac:dyDescent="0.2">
      <c r="A2161" s="145"/>
      <c r="B2161" s="145"/>
      <c r="C2161" s="145"/>
      <c r="D2161" s="145"/>
      <c r="E2161" s="145"/>
      <c r="F2161" s="145"/>
      <c r="G2161" s="145"/>
      <c r="H2161" s="145"/>
      <c r="I2161" s="145"/>
    </row>
    <row r="2162" spans="1:9" s="17" customFormat="1" ht="16.5" customHeight="1" x14ac:dyDescent="0.2">
      <c r="A2162" s="145"/>
      <c r="B2162" s="145"/>
      <c r="C2162" s="145"/>
      <c r="D2162" s="145"/>
      <c r="E2162" s="145"/>
      <c r="F2162" s="145"/>
      <c r="G2162" s="145"/>
      <c r="H2162" s="145"/>
      <c r="I2162" s="145"/>
    </row>
    <row r="2163" spans="1:9" s="17" customFormat="1" ht="16.5" customHeight="1" x14ac:dyDescent="0.2">
      <c r="A2163" s="145"/>
      <c r="B2163" s="145"/>
      <c r="C2163" s="145"/>
      <c r="D2163" s="145"/>
      <c r="E2163" s="145"/>
      <c r="F2163" s="145"/>
      <c r="G2163" s="145"/>
      <c r="H2163" s="145"/>
      <c r="I2163" s="257">
        <v>38</v>
      </c>
    </row>
    <row r="2164" spans="1:9" s="17" customFormat="1" ht="16.5" customHeight="1" x14ac:dyDescent="0.2">
      <c r="A2164" s="145"/>
      <c r="B2164" s="145"/>
      <c r="C2164" s="145"/>
      <c r="D2164" s="145"/>
      <c r="E2164" s="145"/>
      <c r="F2164" s="145"/>
      <c r="G2164" s="145"/>
      <c r="H2164" s="145"/>
      <c r="I2164" s="224"/>
    </row>
    <row r="2165" spans="1:9" s="17" customFormat="1" ht="16.5" customHeight="1" x14ac:dyDescent="0.2">
      <c r="A2165" s="279"/>
      <c r="B2165" s="635" t="s">
        <v>355</v>
      </c>
      <c r="C2165" s="635"/>
      <c r="D2165" s="635"/>
      <c r="E2165" s="635"/>
      <c r="F2165" s="635"/>
      <c r="G2165" s="279"/>
      <c r="H2165" s="297"/>
      <c r="I2165" s="280"/>
    </row>
    <row r="2166" spans="1:9" s="17" customFormat="1" ht="16.5" customHeight="1" x14ac:dyDescent="0.2">
      <c r="A2166" s="279"/>
      <c r="B2166" s="279"/>
      <c r="C2166" s="279"/>
      <c r="D2166" s="279"/>
      <c r="E2166" s="279"/>
      <c r="F2166" s="279"/>
      <c r="G2166" s="279"/>
      <c r="H2166" s="297"/>
      <c r="I2166" s="280"/>
    </row>
    <row r="2167" spans="1:9" s="17" customFormat="1" ht="16.5" customHeight="1" x14ac:dyDescent="0.2">
      <c r="A2167" s="764" t="s">
        <v>909</v>
      </c>
      <c r="B2167" s="764"/>
      <c r="C2167" s="764"/>
      <c r="D2167" s="764"/>
      <c r="E2167" s="764"/>
      <c r="F2167" s="764"/>
      <c r="G2167" s="764"/>
      <c r="H2167" s="764"/>
      <c r="I2167" s="764"/>
    </row>
    <row r="2168" spans="1:9" s="17" customFormat="1" ht="16.5" customHeight="1" x14ac:dyDescent="0.2">
      <c r="A2168" s="764" t="s">
        <v>910</v>
      </c>
      <c r="B2168" s="764"/>
      <c r="C2168" s="764"/>
      <c r="D2168" s="764"/>
      <c r="E2168" s="764"/>
      <c r="F2168" s="764"/>
      <c r="G2168" s="764"/>
      <c r="H2168" s="764"/>
      <c r="I2168" s="764"/>
    </row>
    <row r="2169" spans="1:9" s="17" customFormat="1" ht="16.5" customHeight="1" x14ac:dyDescent="0.2">
      <c r="A2169" s="145"/>
      <c r="B2169" s="145"/>
      <c r="C2169" s="145"/>
      <c r="D2169" s="145"/>
      <c r="E2169" s="605" t="s">
        <v>84</v>
      </c>
      <c r="F2169" s="145"/>
      <c r="G2169" s="145"/>
      <c r="H2169" s="145"/>
      <c r="I2169" s="145"/>
    </row>
    <row r="2170" spans="1:9" s="17" customFormat="1" ht="16.5" customHeight="1" x14ac:dyDescent="0.2">
      <c r="A2170" s="224"/>
      <c r="B2170" s="247"/>
      <c r="C2170" s="15"/>
      <c r="D2170" s="156"/>
      <c r="E2170" s="605"/>
      <c r="F2170" s="156"/>
      <c r="G2170" s="224"/>
      <c r="H2170" s="156"/>
      <c r="I2170" s="156"/>
    </row>
    <row r="2171" spans="1:9" s="17" customFormat="1" ht="16.5" customHeight="1" x14ac:dyDescent="0.2">
      <c r="A2171" s="192" t="s">
        <v>48</v>
      </c>
      <c r="B2171" s="615" t="s">
        <v>49</v>
      </c>
      <c r="C2171" s="616"/>
      <c r="D2171" s="411" t="s">
        <v>85</v>
      </c>
      <c r="E2171" s="409" t="s">
        <v>320</v>
      </c>
      <c r="F2171" s="42" t="s">
        <v>86</v>
      </c>
      <c r="G2171" s="619" t="s">
        <v>52</v>
      </c>
      <c r="H2171" s="620"/>
      <c r="I2171" s="613" t="s">
        <v>53</v>
      </c>
    </row>
    <row r="2172" spans="1:9" s="17" customFormat="1" ht="12" customHeight="1" x14ac:dyDescent="0.2">
      <c r="A2172" s="193" t="s">
        <v>87</v>
      </c>
      <c r="B2172" s="617"/>
      <c r="C2172" s="618"/>
      <c r="D2172" s="412" t="s">
        <v>537</v>
      </c>
      <c r="E2172" s="44" t="s">
        <v>571</v>
      </c>
      <c r="F2172" s="44" t="s">
        <v>571</v>
      </c>
      <c r="G2172" s="29" t="s">
        <v>55</v>
      </c>
      <c r="H2172" s="29" t="s">
        <v>56</v>
      </c>
      <c r="I2172" s="614"/>
    </row>
    <row r="2173" spans="1:9" s="17" customFormat="1" ht="12" customHeight="1" x14ac:dyDescent="0.2">
      <c r="A2173" s="164">
        <v>1</v>
      </c>
      <c r="B2173" s="146">
        <v>2</v>
      </c>
      <c r="C2173" s="163"/>
      <c r="D2173" s="163">
        <v>3</v>
      </c>
      <c r="E2173" s="147">
        <v>4</v>
      </c>
      <c r="F2173" s="147">
        <v>5</v>
      </c>
      <c r="G2173" s="147">
        <v>6</v>
      </c>
      <c r="H2173" s="147">
        <v>7</v>
      </c>
      <c r="I2173" s="164">
        <v>8</v>
      </c>
    </row>
    <row r="2174" spans="1:9" s="17" customFormat="1" ht="16.5" customHeight="1" x14ac:dyDescent="0.2">
      <c r="A2174" s="84">
        <v>50019</v>
      </c>
      <c r="B2174" s="654" t="s">
        <v>356</v>
      </c>
      <c r="C2174" s="655"/>
      <c r="D2174" s="110">
        <v>0</v>
      </c>
      <c r="E2174" s="323">
        <v>0</v>
      </c>
      <c r="F2174" s="110">
        <v>0</v>
      </c>
      <c r="G2174" s="91" t="e">
        <f>F2174/D2174</f>
        <v>#DIV/0!</v>
      </c>
      <c r="H2174" s="92" t="e">
        <f>F2174/E2174</f>
        <v>#DIV/0!</v>
      </c>
      <c r="I2174" s="92">
        <f>F2174/F2175</f>
        <v>0</v>
      </c>
    </row>
    <row r="2175" spans="1:9" s="17" customFormat="1" ht="16.5" customHeight="1" x14ac:dyDescent="0.2">
      <c r="A2175" s="84">
        <v>50409</v>
      </c>
      <c r="B2175" s="654" t="s">
        <v>357</v>
      </c>
      <c r="C2175" s="655"/>
      <c r="D2175" s="110">
        <f>D323</f>
        <v>106924.5</v>
      </c>
      <c r="E2175" s="110">
        <f>E323</f>
        <v>107000</v>
      </c>
      <c r="F2175" s="110">
        <f>F323</f>
        <v>112347.5</v>
      </c>
      <c r="G2175" s="91">
        <f>F2175/D2175</f>
        <v>1.0507180300118308</v>
      </c>
      <c r="H2175" s="92">
        <f>F2175/E2175</f>
        <v>1.0499766355140188</v>
      </c>
      <c r="I2175" s="92">
        <f>F2175/F2176</f>
        <v>1</v>
      </c>
    </row>
    <row r="2176" spans="1:9" s="17" customFormat="1" ht="16.5" customHeight="1" x14ac:dyDescent="0.2">
      <c r="A2176" s="168"/>
      <c r="B2176" s="625" t="s">
        <v>358</v>
      </c>
      <c r="C2176" s="626"/>
      <c r="D2176" s="508">
        <f>D2174+D2175</f>
        <v>106924.5</v>
      </c>
      <c r="E2176" s="508">
        <f>E2174+E2175</f>
        <v>107000</v>
      </c>
      <c r="F2176" s="508">
        <f>F2174+F2175</f>
        <v>112347.5</v>
      </c>
      <c r="G2176" s="170">
        <f>F2176/D2176</f>
        <v>1.0507180300118308</v>
      </c>
      <c r="H2176" s="155">
        <f>F2176/E2176</f>
        <v>1.0499766355140188</v>
      </c>
      <c r="I2176" s="206">
        <f>SUM(I2174:I2175)</f>
        <v>1</v>
      </c>
    </row>
    <row r="2177" spans="1:9" s="17" customFormat="1" ht="16.5" customHeight="1" x14ac:dyDescent="0.2">
      <c r="A2177" s="201"/>
      <c r="B2177" s="310"/>
      <c r="C2177" s="310"/>
      <c r="D2177" s="311"/>
      <c r="E2177" s="187"/>
      <c r="F2177" s="188"/>
      <c r="G2177" s="294"/>
      <c r="H2177" s="294"/>
      <c r="I2177" s="280"/>
    </row>
    <row r="2178" spans="1:9" s="17" customFormat="1" ht="16.5" customHeight="1" x14ac:dyDescent="0.2">
      <c r="A2178" s="623" t="s">
        <v>429</v>
      </c>
      <c r="B2178" s="623"/>
      <c r="C2178" s="623"/>
      <c r="D2178" s="623"/>
      <c r="E2178" s="623"/>
      <c r="F2178" s="623"/>
      <c r="G2178" s="623"/>
      <c r="H2178" s="623"/>
      <c r="I2178" s="623"/>
    </row>
    <row r="2179" spans="1:9" s="17" customFormat="1" ht="16.5" customHeight="1" x14ac:dyDescent="0.2">
      <c r="A2179" s="335"/>
      <c r="B2179" s="335"/>
      <c r="C2179" s="335"/>
      <c r="D2179" s="335"/>
      <c r="E2179" s="335"/>
      <c r="F2179" s="335"/>
      <c r="G2179" s="335"/>
      <c r="H2179" s="335"/>
      <c r="I2179" s="335"/>
    </row>
    <row r="2180" spans="1:9" s="17" customFormat="1" ht="12" customHeight="1" x14ac:dyDescent="0.2">
      <c r="A2180" s="756" t="s">
        <v>493</v>
      </c>
      <c r="B2180" s="756"/>
      <c r="C2180" s="756"/>
      <c r="D2180" s="756"/>
      <c r="E2180" s="756"/>
      <c r="F2180" s="756"/>
      <c r="G2180" s="756"/>
      <c r="H2180" s="756"/>
      <c r="I2180" s="756"/>
    </row>
    <row r="2181" spans="1:9" s="17" customFormat="1" ht="16.5" customHeight="1" x14ac:dyDescent="0.2">
      <c r="A2181" s="145"/>
      <c r="B2181" s="145"/>
      <c r="C2181" s="145"/>
      <c r="D2181" s="145"/>
      <c r="E2181" s="605" t="s">
        <v>84</v>
      </c>
      <c r="F2181" s="145"/>
      <c r="G2181" s="145"/>
      <c r="H2181" s="145"/>
      <c r="I2181" s="145"/>
    </row>
    <row r="2182" spans="1:9" s="17" customFormat="1" ht="12" customHeight="1" x14ac:dyDescent="0.2">
      <c r="A2182" s="224"/>
      <c r="B2182" s="247"/>
      <c r="C2182" s="15"/>
      <c r="D2182" s="156"/>
      <c r="E2182" s="605"/>
      <c r="F2182" s="156"/>
      <c r="G2182" s="224"/>
      <c r="H2182" s="156"/>
      <c r="I2182" s="156"/>
    </row>
    <row r="2183" spans="1:9" s="17" customFormat="1" ht="16.5" customHeight="1" x14ac:dyDescent="0.2">
      <c r="A2183" s="192" t="s">
        <v>48</v>
      </c>
      <c r="B2183" s="615" t="s">
        <v>49</v>
      </c>
      <c r="C2183" s="616"/>
      <c r="D2183" s="411" t="s">
        <v>85</v>
      </c>
      <c r="E2183" s="409" t="s">
        <v>152</v>
      </c>
      <c r="F2183" s="42" t="s">
        <v>86</v>
      </c>
      <c r="G2183" s="619" t="s">
        <v>52</v>
      </c>
      <c r="H2183" s="620"/>
      <c r="I2183" s="613" t="s">
        <v>53</v>
      </c>
    </row>
    <row r="2184" spans="1:9" s="17" customFormat="1" ht="12" customHeight="1" x14ac:dyDescent="0.2">
      <c r="A2184" s="193" t="s">
        <v>87</v>
      </c>
      <c r="B2184" s="617"/>
      <c r="C2184" s="618"/>
      <c r="D2184" s="412" t="s">
        <v>537</v>
      </c>
      <c r="E2184" s="44" t="s">
        <v>571</v>
      </c>
      <c r="F2184" s="44" t="s">
        <v>571</v>
      </c>
      <c r="G2184" s="29" t="s">
        <v>55</v>
      </c>
      <c r="H2184" s="29" t="s">
        <v>56</v>
      </c>
      <c r="I2184" s="614"/>
    </row>
    <row r="2185" spans="1:9" s="17" customFormat="1" ht="12" customHeight="1" x14ac:dyDescent="0.2">
      <c r="A2185" s="164">
        <v>1</v>
      </c>
      <c r="B2185" s="146">
        <v>2</v>
      </c>
      <c r="C2185" s="163"/>
      <c r="D2185" s="149">
        <v>3</v>
      </c>
      <c r="E2185" s="147">
        <v>4</v>
      </c>
      <c r="F2185" s="147">
        <v>5</v>
      </c>
      <c r="G2185" s="147">
        <v>6</v>
      </c>
      <c r="H2185" s="147">
        <v>7</v>
      </c>
      <c r="I2185" s="164">
        <v>8</v>
      </c>
    </row>
    <row r="2186" spans="1:9" s="17" customFormat="1" ht="16.5" customHeight="1" x14ac:dyDescent="0.2">
      <c r="A2186" s="86">
        <v>111</v>
      </c>
      <c r="B2186" s="601" t="s">
        <v>184</v>
      </c>
      <c r="C2186" s="602"/>
      <c r="D2186" s="6">
        <f>D635</f>
        <v>3083189.32</v>
      </c>
      <c r="E2186" s="6">
        <f>E635</f>
        <v>3319061.73</v>
      </c>
      <c r="F2186" s="6">
        <f>F635</f>
        <v>3319061.73</v>
      </c>
      <c r="G2186" s="91">
        <f t="shared" ref="G2186:G2191" si="131">F2186/D2186</f>
        <v>1.0765027332152279</v>
      </c>
      <c r="H2186" s="92">
        <f t="shared" ref="H2186:H2191" si="132">F2186/E2186</f>
        <v>1</v>
      </c>
      <c r="I2186" s="92">
        <f>F2186/F2191</f>
        <v>0.70816752976864139</v>
      </c>
    </row>
    <row r="2187" spans="1:9" s="17" customFormat="1" ht="16.5" customHeight="1" x14ac:dyDescent="0.2">
      <c r="A2187" s="86">
        <v>130</v>
      </c>
      <c r="B2187" s="601" t="s">
        <v>185</v>
      </c>
      <c r="C2187" s="602"/>
      <c r="D2187" s="6">
        <f>D861</f>
        <v>632442.29</v>
      </c>
      <c r="E2187" s="6">
        <f>E861</f>
        <v>620793.68999999994</v>
      </c>
      <c r="F2187" s="6">
        <f>F861</f>
        <v>619318.76</v>
      </c>
      <c r="G2187" s="91">
        <f t="shared" si="131"/>
        <v>0.97924944266456304</v>
      </c>
      <c r="H2187" s="92">
        <f t="shared" si="132"/>
        <v>0.9976241221137413</v>
      </c>
      <c r="I2187" s="92">
        <f>F2187/F2191</f>
        <v>0.13214018662092739</v>
      </c>
    </row>
    <row r="2188" spans="1:9" s="17" customFormat="1" ht="16.5" customHeight="1" x14ac:dyDescent="0.2">
      <c r="A2188" s="86">
        <v>132</v>
      </c>
      <c r="B2188" s="601" t="s">
        <v>186</v>
      </c>
      <c r="C2188" s="602"/>
      <c r="D2188" s="6">
        <f>D968</f>
        <v>157983.53</v>
      </c>
      <c r="E2188" s="6">
        <f>E968</f>
        <v>171000</v>
      </c>
      <c r="F2188" s="6">
        <f>F968</f>
        <v>170783.74</v>
      </c>
      <c r="G2188" s="91">
        <f t="shared" si="131"/>
        <v>1.0810224331612288</v>
      </c>
      <c r="H2188" s="92">
        <f t="shared" si="132"/>
        <v>0.99873532163742684</v>
      </c>
      <c r="I2188" s="92">
        <f>F2188/F2191</f>
        <v>3.6439062939769402E-2</v>
      </c>
    </row>
    <row r="2189" spans="1:9" s="17" customFormat="1" ht="16.5" customHeight="1" x14ac:dyDescent="0.2">
      <c r="A2189" s="86">
        <v>200</v>
      </c>
      <c r="B2189" s="601" t="s">
        <v>187</v>
      </c>
      <c r="C2189" s="602"/>
      <c r="D2189" s="6">
        <f>D1081</f>
        <v>0</v>
      </c>
      <c r="E2189" s="6">
        <f>E1081</f>
        <v>60000</v>
      </c>
      <c r="F2189" s="6">
        <f>F1081</f>
        <v>60000</v>
      </c>
      <c r="G2189" s="91" t="e">
        <f t="shared" si="131"/>
        <v>#DIV/0!</v>
      </c>
      <c r="H2189" s="92">
        <f t="shared" si="132"/>
        <v>1</v>
      </c>
      <c r="I2189" s="92">
        <f>F2189/F2191</f>
        <v>1.2801826311955483E-2</v>
      </c>
    </row>
    <row r="2190" spans="1:9" s="17" customFormat="1" ht="16.5" customHeight="1" x14ac:dyDescent="0.2">
      <c r="A2190" s="86">
        <v>300</v>
      </c>
      <c r="B2190" s="601" t="s">
        <v>188</v>
      </c>
      <c r="C2190" s="602"/>
      <c r="D2190" s="6">
        <f>D1190</f>
        <v>713720.17</v>
      </c>
      <c r="E2190" s="6">
        <f>E1190</f>
        <v>531880.76</v>
      </c>
      <c r="F2190" s="6">
        <f>F1190</f>
        <v>517667.05</v>
      </c>
      <c r="G2190" s="91">
        <f t="shared" si="131"/>
        <v>0.72530814142467059</v>
      </c>
      <c r="H2190" s="92">
        <f t="shared" si="132"/>
        <v>0.97327651032159912</v>
      </c>
      <c r="I2190" s="92">
        <f>F2190/F2191</f>
        <v>0.11045139435870624</v>
      </c>
    </row>
    <row r="2191" spans="1:9" s="17" customFormat="1" ht="16.5" customHeight="1" x14ac:dyDescent="0.2">
      <c r="A2191" s="168"/>
      <c r="B2191" s="342" t="s">
        <v>83</v>
      </c>
      <c r="C2191" s="343"/>
      <c r="D2191" s="509">
        <f>D2186+D2187+D2188+D2189+D2190</f>
        <v>4587335.3099999996</v>
      </c>
      <c r="E2191" s="509">
        <f t="shared" ref="E2191" si="133">E2186+E2187+E2188+E2189+E2190</f>
        <v>4702736.18</v>
      </c>
      <c r="F2191" s="509">
        <f>F2186+F2187+F2188+F2189+F2190</f>
        <v>4686831.28</v>
      </c>
      <c r="G2191" s="200">
        <f t="shared" si="131"/>
        <v>1.0216892734618959</v>
      </c>
      <c r="H2191" s="155">
        <f t="shared" si="132"/>
        <v>0.99661794763915512</v>
      </c>
      <c r="I2191" s="206">
        <f>I2186+I2187+I2188+I2189+I2190</f>
        <v>0.99999999999999989</v>
      </c>
    </row>
    <row r="2192" spans="1:9" s="17" customFormat="1" ht="16.5" customHeight="1" x14ac:dyDescent="0.2">
      <c r="A2192" s="314"/>
      <c r="B2192" s="314"/>
      <c r="C2192" s="314"/>
      <c r="D2192" s="314"/>
      <c r="E2192" s="314"/>
      <c r="F2192" s="314"/>
      <c r="G2192" s="156"/>
      <c r="H2192" s="20"/>
      <c r="I2192" s="315"/>
    </row>
    <row r="2193" spans="1:9" s="17" customFormat="1" ht="16.5" customHeight="1" x14ac:dyDescent="0.2">
      <c r="A2193" s="336"/>
      <c r="B2193" s="627" t="s">
        <v>911</v>
      </c>
      <c r="C2193" s="627"/>
      <c r="D2193" s="627"/>
      <c r="E2193" s="627"/>
      <c r="F2193" s="627"/>
      <c r="G2193" s="627"/>
      <c r="H2193" s="627"/>
      <c r="I2193" s="627"/>
    </row>
    <row r="2194" spans="1:9" s="17" customFormat="1" ht="16.5" customHeight="1" x14ac:dyDescent="0.2">
      <c r="A2194" s="627" t="s">
        <v>912</v>
      </c>
      <c r="B2194" s="627"/>
      <c r="C2194" s="627"/>
      <c r="D2194" s="627"/>
      <c r="E2194" s="627"/>
      <c r="F2194" s="627"/>
      <c r="G2194" s="627"/>
      <c r="H2194" s="627"/>
      <c r="I2194" s="627"/>
    </row>
    <row r="2195" spans="1:9" s="17" customFormat="1" ht="16.5" customHeight="1" x14ac:dyDescent="0.2">
      <c r="A2195" s="621" t="s">
        <v>913</v>
      </c>
      <c r="B2195" s="621"/>
      <c r="C2195" s="621"/>
      <c r="D2195" s="621"/>
      <c r="E2195" s="621"/>
      <c r="F2195" s="621"/>
      <c r="G2195" s="621"/>
      <c r="H2195" s="621"/>
      <c r="I2195" s="621"/>
    </row>
    <row r="2196" spans="1:9" s="17" customFormat="1" ht="16.5" customHeight="1" x14ac:dyDescent="0.2">
      <c r="A2196" s="621" t="s">
        <v>914</v>
      </c>
      <c r="B2196" s="621"/>
      <c r="C2196" s="621"/>
      <c r="D2196" s="621"/>
      <c r="E2196" s="621"/>
      <c r="F2196" s="621"/>
      <c r="G2196" s="621"/>
      <c r="H2196" s="621"/>
      <c r="I2196" s="621"/>
    </row>
    <row r="2197" spans="1:9" s="17" customFormat="1" ht="16.5" customHeight="1" x14ac:dyDescent="0.2">
      <c r="A2197" s="156" t="s">
        <v>915</v>
      </c>
      <c r="B2197" s="156"/>
      <c r="C2197" s="156"/>
      <c r="D2197" s="156"/>
      <c r="E2197" s="156"/>
      <c r="F2197" s="156"/>
      <c r="G2197" s="156"/>
      <c r="H2197" s="156"/>
      <c r="I2197" s="156"/>
    </row>
    <row r="2198" spans="1:9" s="17" customFormat="1" ht="16.5" customHeight="1" x14ac:dyDescent="0.2">
      <c r="A2198" s="156" t="s">
        <v>916</v>
      </c>
      <c r="B2198" s="156"/>
      <c r="C2198" s="156"/>
      <c r="D2198" s="156"/>
      <c r="E2198" s="156"/>
      <c r="F2198" s="156"/>
      <c r="G2198" s="156"/>
      <c r="H2198" s="156"/>
      <c r="I2198" s="156"/>
    </row>
    <row r="2199" spans="1:9" s="17" customFormat="1" ht="16.5" customHeight="1" x14ac:dyDescent="0.2">
      <c r="A2199" s="621" t="s">
        <v>917</v>
      </c>
      <c r="B2199" s="621"/>
      <c r="C2199" s="621"/>
      <c r="D2199" s="621"/>
      <c r="E2199" s="621"/>
      <c r="F2199" s="621"/>
      <c r="G2199" s="621"/>
      <c r="H2199" s="621"/>
      <c r="I2199" s="621"/>
    </row>
    <row r="2200" spans="1:9" s="17" customFormat="1" ht="16.5" customHeight="1" x14ac:dyDescent="0.2">
      <c r="A2200" s="156" t="s">
        <v>918</v>
      </c>
      <c r="B2200" s="156"/>
      <c r="C2200" s="156"/>
      <c r="D2200" s="156"/>
      <c r="E2200" s="156"/>
      <c r="F2200" s="156"/>
      <c r="G2200" s="156"/>
      <c r="H2200" s="156"/>
      <c r="I2200" s="156"/>
    </row>
    <row r="2201" spans="1:9" s="17" customFormat="1" ht="16.5" customHeight="1" x14ac:dyDescent="0.2">
      <c r="A2201" s="621" t="s">
        <v>919</v>
      </c>
      <c r="B2201" s="621"/>
      <c r="C2201" s="621"/>
      <c r="D2201" s="621"/>
      <c r="E2201" s="621"/>
      <c r="F2201" s="621"/>
      <c r="G2201" s="621"/>
      <c r="H2201" s="621"/>
      <c r="I2201" s="621"/>
    </row>
    <row r="2202" spans="1:9" s="17" customFormat="1" ht="16.5" customHeight="1" x14ac:dyDescent="0.2">
      <c r="A2202" s="145"/>
      <c r="B2202" s="145" t="s">
        <v>920</v>
      </c>
      <c r="C2202" s="145"/>
      <c r="D2202" s="145"/>
      <c r="E2202" s="145"/>
      <c r="F2202" s="145"/>
      <c r="G2202" s="145"/>
      <c r="H2202" s="145"/>
      <c r="I2202" s="145"/>
    </row>
    <row r="2203" spans="1:9" s="17" customFormat="1" ht="16.5" customHeight="1" x14ac:dyDescent="0.2">
      <c r="A2203" s="145"/>
      <c r="B2203" s="621" t="s">
        <v>921</v>
      </c>
      <c r="C2203" s="621"/>
      <c r="D2203" s="621"/>
      <c r="E2203" s="621"/>
      <c r="F2203" s="621"/>
      <c r="G2203" s="621"/>
      <c r="H2203" s="621"/>
      <c r="I2203" s="621"/>
    </row>
    <row r="2204" spans="1:9" s="17" customFormat="1" ht="16.5" customHeight="1" x14ac:dyDescent="0.2">
      <c r="A2204" s="621" t="s">
        <v>922</v>
      </c>
      <c r="B2204" s="621"/>
      <c r="C2204" s="621"/>
      <c r="D2204" s="621"/>
      <c r="E2204" s="621"/>
      <c r="F2204" s="621"/>
      <c r="G2204" s="621"/>
      <c r="H2204" s="621"/>
      <c r="I2204" s="621"/>
    </row>
    <row r="2205" spans="1:9" s="17" customFormat="1" ht="16.5" customHeight="1" x14ac:dyDescent="0.2">
      <c r="A2205" s="145"/>
      <c r="B2205" s="145"/>
      <c r="C2205" s="145"/>
      <c r="D2205" s="145"/>
      <c r="E2205" s="145"/>
      <c r="F2205" s="145"/>
      <c r="G2205" s="145"/>
      <c r="H2205" s="145"/>
      <c r="I2205" s="145"/>
    </row>
    <row r="2206" spans="1:9" s="17" customFormat="1" ht="16.5" customHeight="1" x14ac:dyDescent="0.2">
      <c r="A2206" s="145"/>
      <c r="B2206" s="145"/>
      <c r="C2206" s="145"/>
      <c r="D2206" s="145"/>
      <c r="E2206" s="145"/>
      <c r="F2206" s="145"/>
      <c r="G2206" s="145"/>
      <c r="H2206" s="145"/>
      <c r="I2206" s="145"/>
    </row>
    <row r="2207" spans="1:9" s="17" customFormat="1" ht="16.5" customHeight="1" x14ac:dyDescent="0.2">
      <c r="A2207" s="145"/>
      <c r="B2207" s="145"/>
      <c r="C2207" s="145"/>
      <c r="D2207" s="145"/>
      <c r="E2207" s="145"/>
      <c r="F2207" s="145"/>
      <c r="G2207" s="145"/>
      <c r="H2207" s="145"/>
      <c r="I2207" s="145"/>
    </row>
    <row r="2208" spans="1:9" s="17" customFormat="1" ht="16.5" customHeight="1" x14ac:dyDescent="0.2">
      <c r="A2208" s="145"/>
      <c r="B2208" s="145"/>
      <c r="C2208" s="145"/>
      <c r="D2208" s="145"/>
      <c r="E2208" s="145"/>
      <c r="F2208" s="145"/>
      <c r="G2208" s="145"/>
      <c r="H2208" s="145"/>
      <c r="I2208" s="145"/>
    </row>
    <row r="2209" spans="1:9" s="17" customFormat="1" ht="16.5" customHeight="1" x14ac:dyDescent="0.2">
      <c r="A2209" s="145"/>
      <c r="B2209" s="145"/>
      <c r="C2209" s="145"/>
      <c r="D2209" s="145"/>
      <c r="E2209" s="145"/>
      <c r="F2209" s="145"/>
      <c r="G2209" s="145"/>
      <c r="H2209" s="145"/>
      <c r="I2209" s="145"/>
    </row>
    <row r="2210" spans="1:9" s="17" customFormat="1" ht="16.5" customHeight="1" x14ac:dyDescent="0.2">
      <c r="A2210" s="145"/>
      <c r="B2210" s="145"/>
      <c r="C2210" s="145"/>
      <c r="D2210" s="145"/>
      <c r="E2210" s="145"/>
      <c r="F2210" s="145"/>
      <c r="G2210" s="145"/>
      <c r="H2210" s="145"/>
      <c r="I2210" s="145"/>
    </row>
    <row r="2211" spans="1:9" s="17" customFormat="1" ht="16.5" customHeight="1" x14ac:dyDescent="0.2">
      <c r="A2211" s="145"/>
      <c r="B2211" s="145"/>
      <c r="C2211" s="145"/>
      <c r="D2211" s="145"/>
      <c r="E2211" s="145"/>
      <c r="F2211" s="145"/>
      <c r="G2211" s="145"/>
      <c r="H2211" s="145"/>
      <c r="I2211" s="145"/>
    </row>
    <row r="2212" spans="1:9" s="17" customFormat="1" ht="16.5" customHeight="1" x14ac:dyDescent="0.2">
      <c r="A2212" s="145"/>
      <c r="B2212" s="145"/>
      <c r="C2212" s="145"/>
      <c r="D2212" s="145"/>
      <c r="E2212" s="145"/>
      <c r="F2212" s="145"/>
      <c r="G2212" s="145"/>
      <c r="H2212" s="145"/>
      <c r="I2212" s="145"/>
    </row>
    <row r="2213" spans="1:9" s="17" customFormat="1" ht="16.5" customHeight="1" x14ac:dyDescent="0.2">
      <c r="A2213" s="145"/>
      <c r="B2213" s="145"/>
      <c r="C2213" s="145"/>
      <c r="D2213" s="145"/>
      <c r="E2213" s="145"/>
      <c r="F2213" s="145"/>
      <c r="G2213" s="145"/>
      <c r="H2213" s="145"/>
      <c r="I2213" s="145"/>
    </row>
    <row r="2214" spans="1:9" s="17" customFormat="1" ht="16.5" customHeight="1" x14ac:dyDescent="0.2">
      <c r="A2214" s="145"/>
      <c r="B2214" s="145"/>
      <c r="C2214" s="145"/>
      <c r="D2214" s="145"/>
      <c r="E2214" s="145"/>
      <c r="F2214" s="145"/>
      <c r="G2214" s="145"/>
      <c r="H2214" s="145"/>
      <c r="I2214" s="145"/>
    </row>
    <row r="2215" spans="1:9" s="17" customFormat="1" ht="16.5" customHeight="1" x14ac:dyDescent="0.2">
      <c r="A2215" s="145"/>
      <c r="B2215" s="145"/>
      <c r="C2215" s="145"/>
      <c r="D2215" s="145"/>
      <c r="E2215" s="145"/>
      <c r="F2215" s="145"/>
      <c r="G2215" s="145"/>
      <c r="H2215" s="145"/>
      <c r="I2215" s="145"/>
    </row>
    <row r="2216" spans="1:9" s="17" customFormat="1" ht="16.5" customHeight="1" x14ac:dyDescent="0.2">
      <c r="A2216" s="145"/>
      <c r="B2216" s="145"/>
      <c r="C2216" s="145"/>
      <c r="D2216" s="145"/>
      <c r="E2216" s="145"/>
      <c r="F2216" s="145"/>
      <c r="G2216" s="145"/>
      <c r="H2216" s="145"/>
      <c r="I2216" s="145"/>
    </row>
    <row r="2217" spans="1:9" s="17" customFormat="1" ht="16.5" customHeight="1" x14ac:dyDescent="0.2">
      <c r="A2217" s="145"/>
      <c r="B2217" s="145"/>
      <c r="C2217" s="145"/>
      <c r="D2217" s="145"/>
      <c r="E2217" s="145"/>
      <c r="F2217" s="145"/>
      <c r="G2217" s="145"/>
      <c r="H2217" s="145"/>
      <c r="I2217" s="145"/>
    </row>
    <row r="2218" spans="1:9" s="17" customFormat="1" ht="16.5" customHeight="1" x14ac:dyDescent="0.2">
      <c r="A2218" s="145"/>
      <c r="B2218" s="145"/>
      <c r="C2218" s="145"/>
      <c r="D2218" s="145"/>
      <c r="E2218" s="145"/>
      <c r="F2218" s="145"/>
      <c r="G2218" s="145"/>
      <c r="H2218" s="145"/>
      <c r="I2218" s="145"/>
    </row>
    <row r="2219" spans="1:9" s="17" customFormat="1" ht="16.5" customHeight="1" x14ac:dyDescent="0.2">
      <c r="A2219" s="145"/>
      <c r="B2219" s="145"/>
      <c r="C2219" s="145"/>
      <c r="D2219" s="145"/>
      <c r="E2219" s="145"/>
      <c r="F2219" s="145"/>
      <c r="G2219" s="145"/>
      <c r="H2219" s="145"/>
      <c r="I2219" s="145"/>
    </row>
    <row r="2220" spans="1:9" s="17" customFormat="1" ht="16.5" customHeight="1" x14ac:dyDescent="0.2">
      <c r="A2220" s="145"/>
      <c r="B2220" s="145"/>
      <c r="C2220" s="145"/>
      <c r="D2220" s="145"/>
      <c r="E2220" s="145"/>
      <c r="F2220" s="145"/>
      <c r="G2220" s="145"/>
      <c r="H2220" s="145"/>
      <c r="I2220" s="257">
        <v>39</v>
      </c>
    </row>
    <row r="2221" spans="1:9" s="17" customFormat="1" ht="16.5" customHeight="1" x14ac:dyDescent="0.2">
      <c r="A2221" s="18"/>
      <c r="B2221" s="20"/>
      <c r="C2221" s="20"/>
      <c r="D2221" s="20"/>
      <c r="E2221" s="18"/>
      <c r="F2221" s="18"/>
      <c r="G2221" s="18"/>
      <c r="H2221" s="344"/>
      <c r="I2221" s="315"/>
    </row>
    <row r="2222" spans="1:9" s="17" customFormat="1" ht="16.5" customHeight="1" x14ac:dyDescent="0.2">
      <c r="A2222" s="279"/>
      <c r="B2222" s="635" t="s">
        <v>483</v>
      </c>
      <c r="C2222" s="635"/>
      <c r="D2222" s="635"/>
      <c r="E2222" s="635"/>
      <c r="F2222" s="279"/>
      <c r="G2222" s="20"/>
      <c r="H2222" s="297"/>
      <c r="I2222" s="280"/>
    </row>
    <row r="2223" spans="1:9" s="17" customFormat="1" ht="16.5" customHeight="1" x14ac:dyDescent="0.2">
      <c r="A2223" s="279"/>
      <c r="B2223" s="279"/>
      <c r="C2223" s="279"/>
      <c r="D2223" s="279"/>
      <c r="E2223" s="279"/>
      <c r="F2223" s="279"/>
      <c r="G2223" s="20"/>
      <c r="H2223" s="297"/>
      <c r="I2223" s="280"/>
    </row>
    <row r="2224" spans="1:9" s="17" customFormat="1" ht="16.5" customHeight="1" x14ac:dyDescent="0.2">
      <c r="A2224" s="623" t="s">
        <v>923</v>
      </c>
      <c r="B2224" s="623"/>
      <c r="C2224" s="623"/>
      <c r="D2224" s="623"/>
      <c r="E2224" s="623"/>
      <c r="F2224" s="623"/>
      <c r="G2224" s="623"/>
      <c r="H2224" s="623"/>
      <c r="I2224" s="623"/>
    </row>
    <row r="2225" spans="1:11" s="17" customFormat="1" ht="16.5" customHeight="1" x14ac:dyDescent="0.2">
      <c r="A2225" s="627" t="s">
        <v>924</v>
      </c>
      <c r="B2225" s="627"/>
      <c r="C2225" s="627"/>
      <c r="D2225" s="627"/>
      <c r="E2225" s="627"/>
      <c r="F2225" s="627"/>
      <c r="G2225" s="627"/>
      <c r="H2225" s="627"/>
      <c r="I2225" s="627"/>
    </row>
    <row r="2226" spans="1:11" s="17" customFormat="1" ht="16.5" customHeight="1" x14ac:dyDescent="0.2">
      <c r="A2226" s="145"/>
      <c r="B2226" s="145"/>
      <c r="C2226" s="145"/>
      <c r="D2226" s="145"/>
      <c r="E2226" s="605" t="s">
        <v>84</v>
      </c>
      <c r="F2226" s="145"/>
      <c r="G2226" s="145"/>
      <c r="H2226" s="145"/>
      <c r="I2226" s="145"/>
    </row>
    <row r="2227" spans="1:11" s="17" customFormat="1" ht="16.5" customHeight="1" x14ac:dyDescent="0.2">
      <c r="A2227" s="224"/>
      <c r="B2227" s="247"/>
      <c r="C2227" s="15"/>
      <c r="D2227" s="156"/>
      <c r="E2227" s="605"/>
      <c r="F2227" s="156"/>
      <c r="G2227" s="224"/>
      <c r="H2227" s="156"/>
      <c r="I2227" s="156"/>
    </row>
    <row r="2228" spans="1:11" s="17" customFormat="1" ht="16.5" customHeight="1" x14ac:dyDescent="0.2">
      <c r="A2228" s="192" t="s">
        <v>48</v>
      </c>
      <c r="B2228" s="615" t="s">
        <v>49</v>
      </c>
      <c r="C2228" s="616"/>
      <c r="D2228" s="411" t="s">
        <v>85</v>
      </c>
      <c r="E2228" s="409" t="s">
        <v>152</v>
      </c>
      <c r="F2228" s="42" t="s">
        <v>86</v>
      </c>
      <c r="G2228" s="611" t="s">
        <v>52</v>
      </c>
      <c r="H2228" s="612"/>
      <c r="I2228" s="613" t="s">
        <v>53</v>
      </c>
    </row>
    <row r="2229" spans="1:11" s="17" customFormat="1" ht="15" customHeight="1" x14ac:dyDescent="0.2">
      <c r="A2229" s="193" t="s">
        <v>87</v>
      </c>
      <c r="B2229" s="617"/>
      <c r="C2229" s="618"/>
      <c r="D2229" s="412" t="s">
        <v>537</v>
      </c>
      <c r="E2229" s="44" t="s">
        <v>571</v>
      </c>
      <c r="F2229" s="44" t="s">
        <v>571</v>
      </c>
      <c r="G2229" s="281" t="s">
        <v>55</v>
      </c>
      <c r="H2229" s="29" t="s">
        <v>56</v>
      </c>
      <c r="I2229" s="614"/>
    </row>
    <row r="2230" spans="1:11" s="17" customFormat="1" ht="15" customHeight="1" x14ac:dyDescent="0.2">
      <c r="A2230" s="164">
        <v>1</v>
      </c>
      <c r="B2230" s="717">
        <v>2</v>
      </c>
      <c r="C2230" s="718"/>
      <c r="D2230" s="163">
        <v>3</v>
      </c>
      <c r="E2230" s="147">
        <v>4</v>
      </c>
      <c r="F2230" s="147">
        <v>5</v>
      </c>
      <c r="G2230" s="147">
        <v>6</v>
      </c>
      <c r="H2230" s="147">
        <v>7</v>
      </c>
      <c r="I2230" s="164">
        <v>8</v>
      </c>
    </row>
    <row r="2231" spans="1:11" s="17" customFormat="1" ht="16.5" customHeight="1" x14ac:dyDescent="0.2">
      <c r="A2231" s="86">
        <v>111</v>
      </c>
      <c r="B2231" s="601" t="s">
        <v>184</v>
      </c>
      <c r="C2231" s="602"/>
      <c r="D2231" s="6">
        <f>D636</f>
        <v>130232.88</v>
      </c>
      <c r="E2231" s="6">
        <f>E636</f>
        <v>134216.07</v>
      </c>
      <c r="F2231" s="6">
        <f>F636</f>
        <v>134216.07</v>
      </c>
      <c r="G2231" s="91">
        <f t="shared" ref="G2231:G2236" si="134">F2231/D2231</f>
        <v>1.030585133339599</v>
      </c>
      <c r="H2231" s="92">
        <f t="shared" ref="H2231:H2236" si="135">F2231/E2231</f>
        <v>1</v>
      </c>
      <c r="I2231" s="92">
        <f>F2231/F2236</f>
        <v>0.48990863421905778</v>
      </c>
    </row>
    <row r="2232" spans="1:11" s="17" customFormat="1" ht="16.5" customHeight="1" x14ac:dyDescent="0.2">
      <c r="A2232" s="86">
        <v>130</v>
      </c>
      <c r="B2232" s="601" t="s">
        <v>185</v>
      </c>
      <c r="C2232" s="602"/>
      <c r="D2232" s="6">
        <f>D862</f>
        <v>17122.419999999998</v>
      </c>
      <c r="E2232" s="6">
        <f>E862</f>
        <v>23700</v>
      </c>
      <c r="F2232" s="6">
        <f>F862</f>
        <v>23518.04</v>
      </c>
      <c r="G2232" s="91">
        <f t="shared" si="134"/>
        <v>1.3735231351643051</v>
      </c>
      <c r="H2232" s="92">
        <f t="shared" si="135"/>
        <v>0.99232236286919839</v>
      </c>
      <c r="I2232" s="92">
        <f>F2232/F2236</f>
        <v>8.5844346775383676E-2</v>
      </c>
    </row>
    <row r="2233" spans="1:11" s="17" customFormat="1" ht="16.5" customHeight="1" x14ac:dyDescent="0.2">
      <c r="A2233" s="86">
        <v>132</v>
      </c>
      <c r="B2233" s="601" t="s">
        <v>186</v>
      </c>
      <c r="C2233" s="602"/>
      <c r="D2233" s="6">
        <f>D969</f>
        <v>17470.86</v>
      </c>
      <c r="E2233" s="6">
        <f>E969</f>
        <v>24600</v>
      </c>
      <c r="F2233" s="6">
        <f>F969</f>
        <v>24540.71</v>
      </c>
      <c r="G2233" s="91">
        <f t="shared" si="134"/>
        <v>1.4046652540287083</v>
      </c>
      <c r="H2233" s="92">
        <f t="shared" si="135"/>
        <v>0.99758983739837392</v>
      </c>
      <c r="I2233" s="92">
        <f>F2233/F2236</f>
        <v>8.9577244504819534E-2</v>
      </c>
    </row>
    <row r="2234" spans="1:11" s="17" customFormat="1" ht="16.5" customHeight="1" x14ac:dyDescent="0.2">
      <c r="A2234" s="86">
        <v>200</v>
      </c>
      <c r="B2234" s="601" t="s">
        <v>187</v>
      </c>
      <c r="C2234" s="602"/>
      <c r="D2234" s="6">
        <f>D1082</f>
        <v>59989.2</v>
      </c>
      <c r="E2234" s="6">
        <f>E1082</f>
        <v>80010.8</v>
      </c>
      <c r="F2234" s="6">
        <f>F1082</f>
        <v>79836.61</v>
      </c>
      <c r="G2234" s="91">
        <f t="shared" si="134"/>
        <v>1.3308497196161977</v>
      </c>
      <c r="H2234" s="92">
        <f t="shared" si="135"/>
        <v>0.99782291890594765</v>
      </c>
      <c r="I2234" s="92">
        <f>F2234/F2236</f>
        <v>0.2914155105702288</v>
      </c>
    </row>
    <row r="2235" spans="1:11" s="17" customFormat="1" ht="16.5" customHeight="1" x14ac:dyDescent="0.2">
      <c r="A2235" s="86">
        <v>300</v>
      </c>
      <c r="B2235" s="601" t="s">
        <v>188</v>
      </c>
      <c r="C2235" s="602"/>
      <c r="D2235" s="6">
        <f>D1191</f>
        <v>40246.400000000001</v>
      </c>
      <c r="E2235" s="6">
        <f>E1191</f>
        <v>12000</v>
      </c>
      <c r="F2235" s="6">
        <f>F1191</f>
        <v>11850</v>
      </c>
      <c r="G2235" s="91">
        <f t="shared" si="134"/>
        <v>0.29443627256102406</v>
      </c>
      <c r="H2235" s="92">
        <f t="shared" si="135"/>
        <v>0.98750000000000004</v>
      </c>
      <c r="I2235" s="92">
        <f>F2235/F2236</f>
        <v>4.3254263930510219E-2</v>
      </c>
    </row>
    <row r="2236" spans="1:11" s="17" customFormat="1" ht="16.5" customHeight="1" x14ac:dyDescent="0.2">
      <c r="A2236" s="168"/>
      <c r="B2236" s="342" t="s">
        <v>83</v>
      </c>
      <c r="C2236" s="343"/>
      <c r="D2236" s="508">
        <f>D2231+D2232+D2233+D2234+D2235</f>
        <v>265061.76000000001</v>
      </c>
      <c r="E2236" s="508">
        <f>E2231+E2232+E2233+E2234+E2235</f>
        <v>274526.87</v>
      </c>
      <c r="F2236" s="414">
        <f>F2231+F2232+F2233+F2234+F2235</f>
        <v>273961.43</v>
      </c>
      <c r="G2236" s="200">
        <f t="shared" si="134"/>
        <v>1.0335758353072129</v>
      </c>
      <c r="H2236" s="155">
        <f t="shared" si="135"/>
        <v>0.99794031090654256</v>
      </c>
      <c r="I2236" s="155">
        <f>SUM(I2231:I2235)</f>
        <v>1</v>
      </c>
    </row>
    <row r="2237" spans="1:11" s="17" customFormat="1" ht="16.5" customHeight="1" x14ac:dyDescent="0.2">
      <c r="A2237" s="201"/>
      <c r="B2237" s="259"/>
      <c r="C2237" s="325"/>
      <c r="D2237" s="325"/>
      <c r="E2237" s="187"/>
      <c r="F2237" s="188"/>
      <c r="G2237" s="189"/>
      <c r="H2237" s="294"/>
      <c r="I2237" s="280"/>
    </row>
    <row r="2238" spans="1:11" s="17" customFormat="1" ht="16.5" customHeight="1" x14ac:dyDescent="0.2">
      <c r="A2238" s="621" t="s">
        <v>925</v>
      </c>
      <c r="B2238" s="621"/>
      <c r="C2238" s="621"/>
      <c r="D2238" s="621"/>
      <c r="E2238" s="621"/>
      <c r="F2238" s="621"/>
      <c r="G2238" s="621"/>
      <c r="H2238" s="621"/>
      <c r="I2238" s="621"/>
    </row>
    <row r="2239" spans="1:11" s="17" customFormat="1" ht="18.75" customHeight="1" x14ac:dyDescent="0.2">
      <c r="A2239" s="621" t="s">
        <v>926</v>
      </c>
      <c r="B2239" s="621"/>
      <c r="C2239" s="621"/>
      <c r="D2239" s="621"/>
      <c r="E2239" s="621"/>
      <c r="F2239" s="621"/>
      <c r="G2239" s="621"/>
      <c r="H2239" s="621"/>
      <c r="I2239" s="621"/>
      <c r="K2239" s="454"/>
    </row>
    <row r="2240" spans="1:11" s="17" customFormat="1" ht="12" customHeight="1" x14ac:dyDescent="0.2">
      <c r="A2240" s="156" t="s">
        <v>927</v>
      </c>
      <c r="B2240" s="145"/>
      <c r="C2240" s="156"/>
      <c r="D2240" s="156"/>
      <c r="E2240" s="156"/>
      <c r="F2240" s="156"/>
      <c r="G2240" s="156"/>
      <c r="H2240" s="156"/>
      <c r="I2240" s="156"/>
    </row>
    <row r="2241" spans="1:9" s="17" customFormat="1" ht="16.5" customHeight="1" x14ac:dyDescent="0.2">
      <c r="A2241" s="621" t="s">
        <v>928</v>
      </c>
      <c r="B2241" s="621"/>
      <c r="C2241" s="621"/>
      <c r="D2241" s="621"/>
      <c r="E2241" s="621"/>
      <c r="F2241" s="621"/>
      <c r="G2241" s="621"/>
      <c r="H2241" s="621"/>
      <c r="I2241" s="621"/>
    </row>
    <row r="2242" spans="1:9" s="17" customFormat="1" ht="16.5" customHeight="1" x14ac:dyDescent="0.2">
      <c r="A2242" s="621" t="s">
        <v>929</v>
      </c>
      <c r="B2242" s="621"/>
      <c r="C2242" s="621"/>
      <c r="D2242" s="621"/>
      <c r="E2242" s="621"/>
      <c r="F2242" s="621"/>
      <c r="G2242" s="621"/>
      <c r="H2242" s="621"/>
      <c r="I2242" s="621"/>
    </row>
    <row r="2243" spans="1:9" s="17" customFormat="1" ht="16.5" customHeight="1" x14ac:dyDescent="0.2">
      <c r="A2243" s="621" t="s">
        <v>930</v>
      </c>
      <c r="B2243" s="621"/>
      <c r="C2243" s="621"/>
      <c r="D2243" s="621"/>
      <c r="E2243" s="621"/>
      <c r="F2243" s="621"/>
      <c r="G2243" s="621"/>
      <c r="H2243" s="621"/>
      <c r="I2243" s="621"/>
    </row>
    <row r="2244" spans="1:9" s="17" customFormat="1" ht="16.5" customHeight="1" x14ac:dyDescent="0.2">
      <c r="A2244" s="621" t="s">
        <v>931</v>
      </c>
      <c r="B2244" s="621"/>
      <c r="C2244" s="621"/>
      <c r="D2244" s="621"/>
      <c r="E2244" s="621"/>
      <c r="F2244" s="621"/>
      <c r="G2244" s="621"/>
      <c r="H2244" s="621"/>
      <c r="I2244" s="621"/>
    </row>
    <row r="2245" spans="1:9" s="17" customFormat="1" ht="16.5" customHeight="1" x14ac:dyDescent="0.2">
      <c r="A2245" s="621" t="s">
        <v>932</v>
      </c>
      <c r="B2245" s="621"/>
      <c r="C2245" s="621"/>
      <c r="D2245" s="621"/>
      <c r="E2245" s="621"/>
      <c r="F2245" s="621"/>
      <c r="G2245" s="621"/>
      <c r="H2245" s="621"/>
      <c r="I2245" s="621"/>
    </row>
    <row r="2246" spans="1:9" s="17" customFormat="1" ht="16.5" customHeight="1" x14ac:dyDescent="0.2">
      <c r="A2246" s="145"/>
      <c r="B2246" s="145" t="s">
        <v>933</v>
      </c>
      <c r="C2246" s="145"/>
      <c r="D2246" s="145"/>
      <c r="E2246" s="145"/>
      <c r="F2246" s="145"/>
      <c r="G2246" s="145"/>
      <c r="H2246" s="145"/>
      <c r="I2246" s="145"/>
    </row>
    <row r="2247" spans="1:9" s="17" customFormat="1" ht="16.5" customHeight="1" x14ac:dyDescent="0.2">
      <c r="A2247" s="145"/>
      <c r="B2247" s="145" t="s">
        <v>934</v>
      </c>
      <c r="C2247" s="145"/>
      <c r="D2247" s="145"/>
      <c r="E2247" s="145"/>
      <c r="F2247" s="145"/>
      <c r="G2247" s="145"/>
      <c r="H2247" s="145"/>
      <c r="I2247" s="145"/>
    </row>
    <row r="2248" spans="1:9" s="17" customFormat="1" ht="16.5" customHeight="1" x14ac:dyDescent="0.2">
      <c r="A2248" s="145"/>
      <c r="B2248" s="145" t="s">
        <v>935</v>
      </c>
      <c r="C2248" s="145"/>
      <c r="D2248" s="145"/>
      <c r="E2248" s="145"/>
      <c r="F2248" s="145"/>
      <c r="G2248" s="145"/>
      <c r="H2248" s="145"/>
      <c r="I2248" s="145"/>
    </row>
    <row r="2249" spans="1:9" s="17" customFormat="1" ht="16.5" customHeight="1" x14ac:dyDescent="0.2">
      <c r="A2249" s="145"/>
      <c r="B2249" s="145"/>
      <c r="C2249" s="145"/>
      <c r="D2249" s="145"/>
      <c r="E2249" s="145"/>
      <c r="F2249" s="145"/>
      <c r="G2249" s="145"/>
      <c r="H2249" s="145"/>
      <c r="I2249" s="145"/>
    </row>
    <row r="2250" spans="1:9" s="17" customFormat="1" ht="16.5" customHeight="1" x14ac:dyDescent="0.2">
      <c r="A2250" s="145"/>
      <c r="B2250" s="145"/>
      <c r="C2250" s="145"/>
      <c r="D2250" s="145"/>
      <c r="E2250" s="145"/>
      <c r="F2250" s="145"/>
      <c r="G2250" s="145"/>
      <c r="H2250" s="145"/>
      <c r="I2250" s="145"/>
    </row>
    <row r="2251" spans="1:9" s="17" customFormat="1" ht="16.5" customHeight="1" x14ac:dyDescent="0.2">
      <c r="A2251" s="145"/>
      <c r="B2251" s="592" t="s">
        <v>551</v>
      </c>
      <c r="C2251" s="145"/>
      <c r="D2251" s="145"/>
      <c r="E2251" s="145"/>
      <c r="F2251" s="145"/>
      <c r="G2251" s="145"/>
      <c r="H2251" s="145"/>
      <c r="I2251" s="145"/>
    </row>
    <row r="2252" spans="1:9" s="17" customFormat="1" ht="16.5" customHeight="1" x14ac:dyDescent="0.2">
      <c r="A2252" s="145"/>
      <c r="B2252" s="592"/>
      <c r="C2252" s="145"/>
      <c r="D2252" s="145"/>
      <c r="E2252" s="145"/>
      <c r="F2252" s="145"/>
      <c r="G2252" s="145"/>
      <c r="H2252" s="145"/>
      <c r="I2252" s="145"/>
    </row>
    <row r="2253" spans="1:9" s="17" customFormat="1" ht="16.5" customHeight="1" x14ac:dyDescent="0.2">
      <c r="A2253" s="145"/>
      <c r="B2253" s="145" t="s">
        <v>937</v>
      </c>
      <c r="C2253" s="145"/>
      <c r="D2253" s="145"/>
      <c r="E2253" s="145"/>
      <c r="F2253" s="145"/>
      <c r="G2253" s="145"/>
      <c r="H2253" s="145"/>
      <c r="I2253" s="145"/>
    </row>
    <row r="2254" spans="1:9" s="17" customFormat="1" ht="16.5" customHeight="1" x14ac:dyDescent="0.2">
      <c r="A2254" s="145" t="s">
        <v>938</v>
      </c>
      <c r="B2254" s="145"/>
      <c r="C2254" s="145"/>
      <c r="D2254" s="145"/>
      <c r="E2254" s="145"/>
      <c r="F2254" s="145"/>
      <c r="G2254" s="145"/>
      <c r="H2254" s="145"/>
      <c r="I2254" s="145"/>
    </row>
    <row r="2255" spans="1:9" s="17" customFormat="1" ht="16.5" customHeight="1" x14ac:dyDescent="0.2">
      <c r="A2255" s="145"/>
      <c r="B2255" s="145"/>
      <c r="C2255" s="145"/>
      <c r="D2255" s="145"/>
      <c r="E2255" s="145"/>
      <c r="F2255" s="145"/>
      <c r="G2255" s="145"/>
      <c r="H2255" s="145"/>
      <c r="I2255" s="145"/>
    </row>
    <row r="2256" spans="1:9" s="17" customFormat="1" ht="16.5" customHeight="1" x14ac:dyDescent="0.2">
      <c r="A2256" s="192" t="s">
        <v>48</v>
      </c>
      <c r="B2256" s="615" t="s">
        <v>49</v>
      </c>
      <c r="C2256" s="616"/>
      <c r="D2256" s="411" t="s">
        <v>85</v>
      </c>
      <c r="E2256" s="409" t="s">
        <v>152</v>
      </c>
      <c r="F2256" s="42" t="s">
        <v>86</v>
      </c>
      <c r="G2256" s="611" t="s">
        <v>52</v>
      </c>
      <c r="H2256" s="612"/>
      <c r="I2256" s="613" t="s">
        <v>53</v>
      </c>
    </row>
    <row r="2257" spans="1:9" s="17" customFormat="1" ht="16.5" customHeight="1" x14ac:dyDescent="0.2">
      <c r="A2257" s="193" t="s">
        <v>87</v>
      </c>
      <c r="B2257" s="617"/>
      <c r="C2257" s="618"/>
      <c r="D2257" s="412" t="s">
        <v>537</v>
      </c>
      <c r="E2257" s="44" t="s">
        <v>571</v>
      </c>
      <c r="F2257" s="44" t="s">
        <v>571</v>
      </c>
      <c r="G2257" s="281" t="s">
        <v>55</v>
      </c>
      <c r="H2257" s="29" t="s">
        <v>56</v>
      </c>
      <c r="I2257" s="614"/>
    </row>
    <row r="2258" spans="1:9" s="17" customFormat="1" ht="16.5" customHeight="1" x14ac:dyDescent="0.2">
      <c r="A2258" s="164">
        <v>1</v>
      </c>
      <c r="B2258" s="717">
        <v>2</v>
      </c>
      <c r="C2258" s="718"/>
      <c r="D2258" s="163">
        <v>3</v>
      </c>
      <c r="E2258" s="147">
        <v>4</v>
      </c>
      <c r="F2258" s="147">
        <v>5</v>
      </c>
      <c r="G2258" s="147">
        <v>6</v>
      </c>
      <c r="H2258" s="147">
        <v>7</v>
      </c>
      <c r="I2258" s="164">
        <v>8</v>
      </c>
    </row>
    <row r="2259" spans="1:9" s="17" customFormat="1" ht="16.5" customHeight="1" x14ac:dyDescent="0.2">
      <c r="A2259" s="86">
        <v>111</v>
      </c>
      <c r="B2259" s="601" t="s">
        <v>184</v>
      </c>
      <c r="C2259" s="602"/>
      <c r="D2259" s="6">
        <f>D637</f>
        <v>0</v>
      </c>
      <c r="E2259" s="6">
        <f>E637</f>
        <v>0</v>
      </c>
      <c r="F2259" s="6">
        <f>F637</f>
        <v>0</v>
      </c>
      <c r="G2259" s="91" t="e">
        <f t="shared" ref="G2259:G2264" si="136">F2259/D2259</f>
        <v>#DIV/0!</v>
      </c>
      <c r="H2259" s="92" t="e">
        <f t="shared" ref="H2259:H2264" si="137">F2259/E2259</f>
        <v>#DIV/0!</v>
      </c>
      <c r="I2259" s="92">
        <f>F2259/F2264</f>
        <v>0</v>
      </c>
    </row>
    <row r="2260" spans="1:9" s="17" customFormat="1" ht="16.5" customHeight="1" x14ac:dyDescent="0.2">
      <c r="A2260" s="86">
        <v>130</v>
      </c>
      <c r="B2260" s="601" t="s">
        <v>185</v>
      </c>
      <c r="C2260" s="602"/>
      <c r="D2260" s="6">
        <f>D863</f>
        <v>0</v>
      </c>
      <c r="E2260" s="6">
        <f>E863</f>
        <v>45000</v>
      </c>
      <c r="F2260" s="6">
        <f>F863</f>
        <v>44829.31</v>
      </c>
      <c r="G2260" s="91" t="e">
        <f t="shared" si="136"/>
        <v>#DIV/0!</v>
      </c>
      <c r="H2260" s="92">
        <f t="shared" si="137"/>
        <v>0.99620688888888886</v>
      </c>
      <c r="I2260" s="92">
        <f>F2260/F2264</f>
        <v>7.2159054847665355E-2</v>
      </c>
    </row>
    <row r="2261" spans="1:9" s="17" customFormat="1" ht="16.5" customHeight="1" x14ac:dyDescent="0.2">
      <c r="A2261" s="86">
        <v>132</v>
      </c>
      <c r="B2261" s="601" t="s">
        <v>186</v>
      </c>
      <c r="C2261" s="602"/>
      <c r="D2261" s="6">
        <f>D970</f>
        <v>0</v>
      </c>
      <c r="E2261" s="6">
        <f>E970</f>
        <v>5000</v>
      </c>
      <c r="F2261" s="6">
        <f>F970</f>
        <v>5000</v>
      </c>
      <c r="G2261" s="91" t="e">
        <f t="shared" si="136"/>
        <v>#DIV/0!</v>
      </c>
      <c r="H2261" s="92">
        <f t="shared" si="137"/>
        <v>1</v>
      </c>
      <c r="I2261" s="92">
        <f>F2261/F2264</f>
        <v>8.048200479515006E-3</v>
      </c>
    </row>
    <row r="2262" spans="1:9" s="17" customFormat="1" ht="16.5" customHeight="1" x14ac:dyDescent="0.2">
      <c r="A2262" s="86">
        <v>200</v>
      </c>
      <c r="B2262" s="601" t="s">
        <v>187</v>
      </c>
      <c r="C2262" s="602"/>
      <c r="D2262" s="6">
        <v>0</v>
      </c>
      <c r="E2262" s="6">
        <v>0</v>
      </c>
      <c r="F2262" s="6">
        <v>0</v>
      </c>
      <c r="G2262" s="91" t="e">
        <f t="shared" si="136"/>
        <v>#DIV/0!</v>
      </c>
      <c r="H2262" s="92" t="e">
        <f t="shared" si="137"/>
        <v>#DIV/0!</v>
      </c>
      <c r="I2262" s="92">
        <f>F2262/F2264</f>
        <v>0</v>
      </c>
    </row>
    <row r="2263" spans="1:9" s="17" customFormat="1" ht="16.5" customHeight="1" x14ac:dyDescent="0.2">
      <c r="A2263" s="86">
        <v>300</v>
      </c>
      <c r="B2263" s="601" t="s">
        <v>188</v>
      </c>
      <c r="C2263" s="602"/>
      <c r="D2263" s="6">
        <f>D1192</f>
        <v>198022.2</v>
      </c>
      <c r="E2263" s="6">
        <f>E1192</f>
        <v>614274.77</v>
      </c>
      <c r="F2263" s="6">
        <f>F1192</f>
        <v>571427.57999999996</v>
      </c>
      <c r="G2263" s="91">
        <f t="shared" si="136"/>
        <v>2.8856743334838213</v>
      </c>
      <c r="H2263" s="92">
        <f t="shared" si="137"/>
        <v>0.93024751773542635</v>
      </c>
      <c r="I2263" s="92">
        <f>F2263/F2264</f>
        <v>0.91979274467281968</v>
      </c>
    </row>
    <row r="2264" spans="1:9" s="17" customFormat="1" ht="16.5" customHeight="1" x14ac:dyDescent="0.2">
      <c r="A2264" s="168"/>
      <c r="B2264" s="342" t="s">
        <v>83</v>
      </c>
      <c r="C2264" s="343"/>
      <c r="D2264" s="508">
        <f>D2259+D2260+D2261+D2262+D2263</f>
        <v>198022.2</v>
      </c>
      <c r="E2264" s="508">
        <f>E2259+E2260+E2261+E2262+E2263</f>
        <v>664274.77</v>
      </c>
      <c r="F2264" s="414">
        <f>F2259+F2260+F2261+F2262+F2263</f>
        <v>621256.8899999999</v>
      </c>
      <c r="G2264" s="200">
        <f t="shared" si="136"/>
        <v>3.1373093016843558</v>
      </c>
      <c r="H2264" s="155">
        <f t="shared" si="137"/>
        <v>0.93524083415060288</v>
      </c>
      <c r="I2264" s="155">
        <f>SUM(I2259:I2263)</f>
        <v>1</v>
      </c>
    </row>
    <row r="2265" spans="1:9" s="17" customFormat="1" ht="16.5" customHeight="1" x14ac:dyDescent="0.2">
      <c r="A2265" s="145"/>
      <c r="B2265" s="145"/>
      <c r="C2265" s="145"/>
      <c r="D2265" s="145"/>
      <c r="E2265" s="145"/>
      <c r="F2265" s="145"/>
      <c r="G2265" s="145"/>
      <c r="H2265" s="145"/>
      <c r="I2265" s="145"/>
    </row>
    <row r="2266" spans="1:9" s="17" customFormat="1" ht="16.5" customHeight="1" x14ac:dyDescent="0.2">
      <c r="A2266" s="145"/>
      <c r="B2266" s="145" t="s">
        <v>936</v>
      </c>
      <c r="C2266" s="145"/>
      <c r="D2266" s="145"/>
      <c r="E2266" s="145"/>
      <c r="F2266" s="145"/>
      <c r="G2266" s="145"/>
      <c r="H2266" s="145"/>
      <c r="I2266" s="145"/>
    </row>
    <row r="2267" spans="1:9" s="17" customFormat="1" ht="16.5" customHeight="1" x14ac:dyDescent="0.2">
      <c r="A2267" s="145"/>
      <c r="B2267" s="145" t="s">
        <v>939</v>
      </c>
      <c r="C2267" s="145"/>
      <c r="D2267" s="145"/>
      <c r="E2267" s="145"/>
      <c r="F2267" s="145"/>
      <c r="G2267" s="145"/>
      <c r="H2267" s="145"/>
      <c r="I2267" s="145"/>
    </row>
    <row r="2268" spans="1:9" s="17" customFormat="1" ht="16.5" customHeight="1" x14ac:dyDescent="0.2">
      <c r="A2268" s="145"/>
      <c r="B2268" s="145" t="s">
        <v>940</v>
      </c>
      <c r="C2268" s="145"/>
      <c r="D2268" s="145"/>
      <c r="E2268" s="145"/>
      <c r="F2268" s="145"/>
      <c r="G2268" s="145"/>
      <c r="H2268" s="145"/>
      <c r="I2268" s="145"/>
    </row>
    <row r="2269" spans="1:9" s="17" customFormat="1" ht="16.5" customHeight="1" x14ac:dyDescent="0.2">
      <c r="A2269" s="145" t="s">
        <v>941</v>
      </c>
      <c r="B2269" s="145"/>
      <c r="C2269" s="145"/>
      <c r="D2269" s="145"/>
      <c r="E2269" s="145"/>
      <c r="F2269" s="145"/>
      <c r="G2269" s="145"/>
      <c r="H2269" s="145"/>
      <c r="I2269" s="145"/>
    </row>
    <row r="2270" spans="1:9" s="17" customFormat="1" ht="16.5" customHeight="1" x14ac:dyDescent="0.2">
      <c r="A2270" s="145"/>
      <c r="B2270" s="145"/>
      <c r="C2270" s="145"/>
      <c r="D2270" s="145"/>
      <c r="E2270" s="145"/>
      <c r="F2270" s="145"/>
      <c r="G2270" s="145"/>
      <c r="H2270" s="145"/>
    </row>
    <row r="2271" spans="1:9" s="17" customFormat="1" ht="16.5" customHeight="1" x14ac:dyDescent="0.2">
      <c r="A2271" s="145"/>
      <c r="B2271" s="145"/>
      <c r="C2271" s="145"/>
      <c r="D2271" s="145"/>
      <c r="E2271" s="145"/>
      <c r="F2271" s="145"/>
      <c r="G2271" s="145"/>
      <c r="H2271" s="145"/>
    </row>
    <row r="2272" spans="1:9" s="17" customFormat="1" ht="16.5" customHeight="1" x14ac:dyDescent="0.2">
      <c r="A2272" s="145"/>
      <c r="B2272" s="145"/>
      <c r="C2272" s="145"/>
      <c r="D2272" s="145"/>
      <c r="E2272" s="145"/>
      <c r="F2272" s="145"/>
      <c r="G2272" s="145"/>
      <c r="H2272" s="145"/>
    </row>
    <row r="2273" spans="1:9" s="17" customFormat="1" ht="16.5" customHeight="1" x14ac:dyDescent="0.2">
      <c r="A2273" s="145"/>
      <c r="B2273" s="145"/>
      <c r="C2273" s="145"/>
      <c r="D2273" s="145"/>
      <c r="E2273" s="145"/>
      <c r="F2273" s="145"/>
      <c r="G2273" s="145"/>
      <c r="H2273" s="145"/>
    </row>
    <row r="2274" spans="1:9" s="17" customFormat="1" ht="16.5" customHeight="1" x14ac:dyDescent="0.2">
      <c r="A2274" s="145"/>
      <c r="B2274" s="145"/>
      <c r="C2274" s="145"/>
      <c r="D2274" s="145"/>
      <c r="E2274" s="145"/>
      <c r="F2274" s="145"/>
      <c r="G2274" s="145"/>
      <c r="H2274" s="145"/>
    </row>
    <row r="2275" spans="1:9" s="17" customFormat="1" ht="16.5" customHeight="1" x14ac:dyDescent="0.2">
      <c r="A2275" s="145"/>
      <c r="B2275" s="145"/>
      <c r="C2275" s="145"/>
      <c r="D2275" s="145"/>
      <c r="E2275" s="145"/>
      <c r="F2275" s="145"/>
      <c r="G2275" s="145"/>
      <c r="H2275" s="145"/>
    </row>
    <row r="2276" spans="1:9" s="17" customFormat="1" ht="16.5" customHeight="1" x14ac:dyDescent="0.2">
      <c r="A2276" s="145"/>
      <c r="B2276" s="145"/>
      <c r="C2276" s="145"/>
      <c r="D2276" s="145"/>
      <c r="E2276" s="145"/>
      <c r="F2276" s="145"/>
      <c r="G2276" s="145"/>
      <c r="H2276" s="145"/>
      <c r="I2276" s="257">
        <v>40</v>
      </c>
    </row>
    <row r="2277" spans="1:9" s="17" customFormat="1" ht="16.5" customHeight="1" x14ac:dyDescent="0.2">
      <c r="A2277" s="145"/>
      <c r="B2277" s="145"/>
      <c r="C2277" s="145"/>
      <c r="D2277" s="145"/>
      <c r="E2277" s="145"/>
      <c r="F2277" s="145"/>
      <c r="G2277" s="145"/>
      <c r="H2277" s="145"/>
      <c r="I2277" s="257"/>
    </row>
    <row r="2278" spans="1:9" s="17" customFormat="1" ht="18" customHeight="1" x14ac:dyDescent="0.2">
      <c r="A2278" s="279"/>
      <c r="B2278" s="635" t="s">
        <v>359</v>
      </c>
      <c r="C2278" s="635"/>
      <c r="D2278" s="635"/>
      <c r="E2278" s="279"/>
      <c r="F2278" s="279"/>
      <c r="G2278" s="20"/>
      <c r="H2278" s="297"/>
      <c r="I2278" s="280"/>
    </row>
    <row r="2279" spans="1:9" s="17" customFormat="1" ht="18" customHeight="1" x14ac:dyDescent="0.2">
      <c r="A2279" s="279"/>
      <c r="B2279" s="24"/>
      <c r="C2279" s="24"/>
      <c r="D2279" s="24"/>
      <c r="E2279" s="279"/>
      <c r="F2279" s="279"/>
      <c r="G2279" s="20"/>
      <c r="H2279" s="297"/>
      <c r="I2279" s="280"/>
    </row>
    <row r="2280" spans="1:9" s="17" customFormat="1" ht="18" customHeight="1" x14ac:dyDescent="0.2">
      <c r="A2280" s="764" t="s">
        <v>942</v>
      </c>
      <c r="B2280" s="764"/>
      <c r="C2280" s="764"/>
      <c r="D2280" s="764"/>
      <c r="E2280" s="764"/>
      <c r="F2280" s="764"/>
      <c r="G2280" s="764"/>
      <c r="H2280" s="764"/>
      <c r="I2280" s="764"/>
    </row>
    <row r="2281" spans="1:9" s="17" customFormat="1" ht="20.25" customHeight="1" x14ac:dyDescent="0.2">
      <c r="A2281" s="764" t="s">
        <v>943</v>
      </c>
      <c r="B2281" s="764"/>
      <c r="C2281" s="764"/>
      <c r="D2281" s="764"/>
      <c r="E2281" s="764"/>
      <c r="F2281" s="764"/>
      <c r="G2281" s="764"/>
      <c r="H2281" s="764"/>
      <c r="I2281" s="764"/>
    </row>
    <row r="2282" spans="1:9" s="17" customFormat="1" ht="16.5" customHeight="1" x14ac:dyDescent="0.2">
      <c r="A2282" s="603" t="s">
        <v>944</v>
      </c>
      <c r="B2282" s="603"/>
      <c r="C2282" s="603"/>
      <c r="D2282" s="603"/>
      <c r="E2282" s="603"/>
      <c r="F2282" s="603"/>
      <c r="G2282" s="603"/>
      <c r="H2282" s="603"/>
      <c r="I2282" s="603"/>
    </row>
    <row r="2283" spans="1:9" s="17" customFormat="1" ht="16.5" customHeight="1" x14ac:dyDescent="0.2">
      <c r="A2283" s="603" t="s">
        <v>945</v>
      </c>
      <c r="B2283" s="603"/>
      <c r="C2283" s="603"/>
      <c r="D2283" s="603"/>
      <c r="E2283" s="603"/>
      <c r="F2283" s="603"/>
      <c r="G2283" s="603"/>
      <c r="H2283" s="603"/>
      <c r="I2283" s="603"/>
    </row>
    <row r="2284" spans="1:9" s="17" customFormat="1" ht="16.5" customHeight="1" x14ac:dyDescent="0.2">
      <c r="A2284" s="145"/>
      <c r="B2284" s="145"/>
      <c r="C2284" s="145"/>
      <c r="D2284" s="145"/>
      <c r="E2284" s="605" t="s">
        <v>84</v>
      </c>
      <c r="F2284" s="145"/>
      <c r="G2284" s="145"/>
      <c r="H2284" s="145"/>
      <c r="I2284" s="145"/>
    </row>
    <row r="2285" spans="1:9" s="17" customFormat="1" ht="16.5" customHeight="1" x14ac:dyDescent="0.2">
      <c r="A2285" s="224"/>
      <c r="B2285" s="247"/>
      <c r="C2285" s="15"/>
      <c r="D2285" s="156"/>
      <c r="E2285" s="605"/>
      <c r="F2285" s="156"/>
      <c r="G2285" s="224"/>
      <c r="H2285" s="156"/>
      <c r="I2285" s="156"/>
    </row>
    <row r="2286" spans="1:9" s="17" customFormat="1" ht="16.5" customHeight="1" x14ac:dyDescent="0.2">
      <c r="A2286" s="192" t="s">
        <v>48</v>
      </c>
      <c r="B2286" s="615" t="s">
        <v>49</v>
      </c>
      <c r="C2286" s="616"/>
      <c r="D2286" s="411" t="s">
        <v>85</v>
      </c>
      <c r="E2286" s="409" t="s">
        <v>320</v>
      </c>
      <c r="F2286" s="42" t="s">
        <v>86</v>
      </c>
      <c r="G2286" s="619" t="s">
        <v>52</v>
      </c>
      <c r="H2286" s="620"/>
      <c r="I2286" s="613" t="s">
        <v>53</v>
      </c>
    </row>
    <row r="2287" spans="1:9" s="17" customFormat="1" ht="15" customHeight="1" x14ac:dyDescent="0.2">
      <c r="A2287" s="193" t="s">
        <v>87</v>
      </c>
      <c r="B2287" s="617"/>
      <c r="C2287" s="618"/>
      <c r="D2287" s="412" t="s">
        <v>537</v>
      </c>
      <c r="E2287" s="44" t="s">
        <v>571</v>
      </c>
      <c r="F2287" s="44" t="s">
        <v>571</v>
      </c>
      <c r="G2287" s="29" t="s">
        <v>55</v>
      </c>
      <c r="H2287" s="29" t="s">
        <v>56</v>
      </c>
      <c r="I2287" s="614"/>
    </row>
    <row r="2288" spans="1:9" s="17" customFormat="1" ht="15" customHeight="1" x14ac:dyDescent="0.2">
      <c r="A2288" s="305">
        <v>1</v>
      </c>
      <c r="B2288" s="749">
        <v>2</v>
      </c>
      <c r="C2288" s="750"/>
      <c r="D2288" s="345">
        <v>3</v>
      </c>
      <c r="E2288" s="197">
        <v>4</v>
      </c>
      <c r="F2288" s="197">
        <v>5</v>
      </c>
      <c r="G2288" s="197">
        <v>6</v>
      </c>
      <c r="H2288" s="346">
        <v>7</v>
      </c>
      <c r="I2288" s="164">
        <v>8</v>
      </c>
    </row>
    <row r="2289" spans="1:9" s="17" customFormat="1" ht="16.5" customHeight="1" x14ac:dyDescent="0.2">
      <c r="A2289" s="84" t="s">
        <v>360</v>
      </c>
      <c r="B2289" s="654" t="s">
        <v>430</v>
      </c>
      <c r="C2289" s="655"/>
      <c r="D2289" s="6">
        <f t="shared" ref="D2289:F2291" si="138">D325</f>
        <v>0</v>
      </c>
      <c r="E2289" s="6">
        <f t="shared" si="138"/>
        <v>500</v>
      </c>
      <c r="F2289" s="6">
        <f t="shared" si="138"/>
        <v>0</v>
      </c>
      <c r="G2289" s="91" t="e">
        <f t="shared" ref="G2289:G2297" si="139">F2289/D2289</f>
        <v>#DIV/0!</v>
      </c>
      <c r="H2289" s="166">
        <f t="shared" ref="H2289:H2297" si="140">F2289/E2289</f>
        <v>0</v>
      </c>
      <c r="I2289" s="122">
        <f>F2289/F2292</f>
        <v>0</v>
      </c>
    </row>
    <row r="2290" spans="1:9" s="17" customFormat="1" ht="16.5" customHeight="1" x14ac:dyDescent="0.2">
      <c r="A2290" s="86">
        <v>50408</v>
      </c>
      <c r="B2290" s="654" t="s">
        <v>547</v>
      </c>
      <c r="C2290" s="655"/>
      <c r="D2290" s="6">
        <f t="shared" si="138"/>
        <v>55</v>
      </c>
      <c r="E2290" s="6">
        <f t="shared" si="138"/>
        <v>0</v>
      </c>
      <c r="F2290" s="6">
        <f t="shared" si="138"/>
        <v>0</v>
      </c>
      <c r="G2290" s="91">
        <f t="shared" si="139"/>
        <v>0</v>
      </c>
      <c r="H2290" s="166" t="e">
        <f t="shared" si="140"/>
        <v>#DIV/0!</v>
      </c>
      <c r="I2290" s="122">
        <f>F2290/F2292</f>
        <v>0</v>
      </c>
    </row>
    <row r="2291" spans="1:9" s="17" customFormat="1" ht="16.5" customHeight="1" x14ac:dyDescent="0.2">
      <c r="A2291" s="86">
        <v>50409</v>
      </c>
      <c r="B2291" s="557" t="s">
        <v>361</v>
      </c>
      <c r="C2291" s="458"/>
      <c r="D2291" s="6">
        <f t="shared" si="138"/>
        <v>3895.5</v>
      </c>
      <c r="E2291" s="6">
        <f t="shared" si="138"/>
        <v>0</v>
      </c>
      <c r="F2291" s="6">
        <f t="shared" si="138"/>
        <v>1389</v>
      </c>
      <c r="G2291" s="91">
        <f>F2291/D2291</f>
        <v>0.35656526761648055</v>
      </c>
      <c r="H2291" s="166" t="e">
        <f>F2291/E2291</f>
        <v>#DIV/0!</v>
      </c>
      <c r="I2291" s="122">
        <f>F2291/F2292</f>
        <v>1</v>
      </c>
    </row>
    <row r="2292" spans="1:9" s="17" customFormat="1" ht="16.5" customHeight="1" x14ac:dyDescent="0.2">
      <c r="A2292" s="86"/>
      <c r="B2292" s="672" t="s">
        <v>96</v>
      </c>
      <c r="C2292" s="673"/>
      <c r="D2292" s="107">
        <f>D2289+D2290+D2291</f>
        <v>3950.5</v>
      </c>
      <c r="E2292" s="107">
        <f t="shared" ref="E2292:F2292" si="141">E2289+E2290+E2291</f>
        <v>500</v>
      </c>
      <c r="F2292" s="107">
        <f t="shared" si="141"/>
        <v>1389</v>
      </c>
      <c r="G2292" s="124">
        <f t="shared" si="139"/>
        <v>0.35160106315656248</v>
      </c>
      <c r="H2292" s="34">
        <f t="shared" si="140"/>
        <v>2.778</v>
      </c>
      <c r="I2292" s="116">
        <f>F2292/F2297</f>
        <v>1</v>
      </c>
    </row>
    <row r="2293" spans="1:9" s="17" customFormat="1" ht="16.5" customHeight="1" x14ac:dyDescent="0.2">
      <c r="A2293" s="86"/>
      <c r="B2293" s="694" t="s">
        <v>142</v>
      </c>
      <c r="C2293" s="695"/>
      <c r="D2293" s="107">
        <f>D2294+D2295</f>
        <v>12376.55</v>
      </c>
      <c r="E2293" s="107">
        <f t="shared" ref="E2293:F2293" si="142">E2294+E2295</f>
        <v>0</v>
      </c>
      <c r="F2293" s="107">
        <f t="shared" si="142"/>
        <v>0</v>
      </c>
      <c r="G2293" s="33">
        <f t="shared" si="139"/>
        <v>0</v>
      </c>
      <c r="H2293" s="34" t="e">
        <f t="shared" si="140"/>
        <v>#DIV/0!</v>
      </c>
      <c r="I2293" s="116">
        <f>F2293/F2297</f>
        <v>0</v>
      </c>
    </row>
    <row r="2294" spans="1:9" s="17" customFormat="1" ht="16.5" customHeight="1" x14ac:dyDescent="0.2">
      <c r="A2294" s="86"/>
      <c r="B2294" s="131"/>
      <c r="C2294" s="132" t="s">
        <v>467</v>
      </c>
      <c r="D2294" s="107">
        <f t="shared" ref="D2294:F2295" si="143">D330</f>
        <v>7859.55</v>
      </c>
      <c r="E2294" s="107">
        <f t="shared" si="143"/>
        <v>0</v>
      </c>
      <c r="F2294" s="107">
        <f t="shared" si="143"/>
        <v>0</v>
      </c>
      <c r="G2294" s="33">
        <f>F2294/D2294</f>
        <v>0</v>
      </c>
      <c r="H2294" s="34" t="e">
        <f>F2294/E2294</f>
        <v>#DIV/0!</v>
      </c>
      <c r="I2294" s="116">
        <f>F2294/F2297</f>
        <v>0</v>
      </c>
    </row>
    <row r="2295" spans="1:9" s="17" customFormat="1" ht="16.5" customHeight="1" x14ac:dyDescent="0.2">
      <c r="A2295" s="86"/>
      <c r="B2295" s="131"/>
      <c r="C2295" s="132" t="s">
        <v>548</v>
      </c>
      <c r="D2295" s="107">
        <f t="shared" si="143"/>
        <v>4517</v>
      </c>
      <c r="E2295" s="107">
        <f t="shared" si="143"/>
        <v>0</v>
      </c>
      <c r="F2295" s="107">
        <f t="shared" si="143"/>
        <v>0</v>
      </c>
      <c r="G2295" s="33">
        <f>F2295/D2295</f>
        <v>0</v>
      </c>
      <c r="H2295" s="34" t="e">
        <f>F2295/E2295</f>
        <v>#DIV/0!</v>
      </c>
      <c r="I2295" s="116" t="e">
        <f>F2295/F2298</f>
        <v>#DIV/0!</v>
      </c>
    </row>
    <row r="2296" spans="1:9" s="17" customFormat="1" ht="16.5" customHeight="1" x14ac:dyDescent="0.2">
      <c r="A2296" s="86"/>
      <c r="B2296" s="773" t="s">
        <v>484</v>
      </c>
      <c r="C2296" s="774"/>
      <c r="D2296" s="6">
        <v>0</v>
      </c>
      <c r="E2296" s="323">
        <v>0</v>
      </c>
      <c r="F2296" s="6">
        <v>0</v>
      </c>
      <c r="G2296" s="91" t="e">
        <f t="shared" si="139"/>
        <v>#DIV/0!</v>
      </c>
      <c r="H2296" s="166" t="e">
        <f t="shared" si="140"/>
        <v>#DIV/0!</v>
      </c>
      <c r="I2296" s="122">
        <f>F2296/F2297</f>
        <v>0</v>
      </c>
    </row>
    <row r="2297" spans="1:9" s="17" customFormat="1" ht="16.5" customHeight="1" x14ac:dyDescent="0.2">
      <c r="A2297" s="168"/>
      <c r="B2297" s="765" t="s">
        <v>331</v>
      </c>
      <c r="C2297" s="765"/>
      <c r="D2297" s="508">
        <f>D2292+D2293</f>
        <v>16327.05</v>
      </c>
      <c r="E2297" s="508">
        <f>E2292+E2293</f>
        <v>500</v>
      </c>
      <c r="F2297" s="508">
        <f>F2292+F2293</f>
        <v>1389</v>
      </c>
      <c r="G2297" s="155">
        <f t="shared" si="139"/>
        <v>8.5073543597894291E-2</v>
      </c>
      <c r="H2297" s="52">
        <f t="shared" si="140"/>
        <v>2.778</v>
      </c>
      <c r="I2297" s="155">
        <f>I2292+I2293</f>
        <v>1</v>
      </c>
    </row>
    <row r="2298" spans="1:9" s="17" customFormat="1" ht="16.5" customHeight="1" x14ac:dyDescent="0.2">
      <c r="A2298" s="201"/>
      <c r="B2298" s="310"/>
      <c r="C2298" s="310"/>
      <c r="D2298" s="311"/>
      <c r="E2298" s="187"/>
      <c r="F2298" s="188"/>
      <c r="G2298" s="294"/>
      <c r="H2298" s="294"/>
      <c r="I2298" s="441"/>
    </row>
    <row r="2299" spans="1:9" s="17" customFormat="1" ht="16.5" customHeight="1" x14ac:dyDescent="0.2">
      <c r="A2299" s="303"/>
      <c r="B2299" s="623" t="s">
        <v>946</v>
      </c>
      <c r="C2299" s="623"/>
      <c r="D2299" s="623"/>
      <c r="E2299" s="623"/>
      <c r="F2299" s="623"/>
      <c r="G2299" s="623"/>
      <c r="H2299" s="623"/>
      <c r="I2299" s="623"/>
    </row>
    <row r="2300" spans="1:9" s="17" customFormat="1" ht="16.5" customHeight="1" x14ac:dyDescent="0.2">
      <c r="A2300" s="303"/>
      <c r="B2300" s="623" t="s">
        <v>947</v>
      </c>
      <c r="C2300" s="623"/>
      <c r="D2300" s="623"/>
      <c r="E2300" s="623"/>
      <c r="F2300" s="623"/>
      <c r="G2300" s="623"/>
      <c r="H2300" s="623"/>
      <c r="I2300" s="623"/>
    </row>
    <row r="2301" spans="1:9" s="17" customFormat="1" ht="16.5" customHeight="1" x14ac:dyDescent="0.2">
      <c r="A2301" s="623" t="s">
        <v>948</v>
      </c>
      <c r="B2301" s="623"/>
      <c r="C2301" s="623"/>
      <c r="D2301" s="623"/>
      <c r="E2301" s="623"/>
      <c r="F2301" s="623"/>
      <c r="G2301" s="623"/>
      <c r="H2301" s="623"/>
      <c r="I2301" s="623"/>
    </row>
    <row r="2302" spans="1:9" s="17" customFormat="1" ht="16.5" customHeight="1" x14ac:dyDescent="0.2">
      <c r="A2302" s="624" t="s">
        <v>493</v>
      </c>
      <c r="B2302" s="624"/>
      <c r="C2302" s="624"/>
      <c r="D2302" s="624"/>
      <c r="E2302" s="624"/>
      <c r="F2302" s="624"/>
      <c r="G2302" s="624"/>
      <c r="H2302" s="624"/>
      <c r="I2302" s="624"/>
    </row>
    <row r="2303" spans="1:9" s="17" customFormat="1" ht="16.5" customHeight="1" x14ac:dyDescent="0.2">
      <c r="A2303" s="145"/>
      <c r="B2303" s="145"/>
      <c r="C2303" s="145"/>
      <c r="D2303" s="145"/>
      <c r="E2303" s="605" t="s">
        <v>84</v>
      </c>
      <c r="F2303" s="145"/>
      <c r="G2303" s="145"/>
      <c r="H2303" s="145"/>
      <c r="I2303" s="145"/>
    </row>
    <row r="2304" spans="1:9" s="17" customFormat="1" ht="16.5" customHeight="1" x14ac:dyDescent="0.2">
      <c r="A2304" s="224"/>
      <c r="B2304" s="247"/>
      <c r="C2304" s="15"/>
      <c r="D2304" s="156"/>
      <c r="E2304" s="605"/>
      <c r="F2304" s="156"/>
      <c r="G2304" s="224"/>
      <c r="H2304" s="156"/>
      <c r="I2304" s="156"/>
    </row>
    <row r="2305" spans="1:9" s="17" customFormat="1" ht="16.5" customHeight="1" x14ac:dyDescent="0.2">
      <c r="A2305" s="192" t="s">
        <v>48</v>
      </c>
      <c r="B2305" s="615" t="s">
        <v>49</v>
      </c>
      <c r="C2305" s="616"/>
      <c r="D2305" s="411" t="s">
        <v>85</v>
      </c>
      <c r="E2305" s="409" t="s">
        <v>152</v>
      </c>
      <c r="F2305" s="42" t="s">
        <v>86</v>
      </c>
      <c r="G2305" s="619" t="s">
        <v>52</v>
      </c>
      <c r="H2305" s="620"/>
      <c r="I2305" s="613" t="s">
        <v>53</v>
      </c>
    </row>
    <row r="2306" spans="1:9" s="17" customFormat="1" ht="16.5" customHeight="1" x14ac:dyDescent="0.2">
      <c r="A2306" s="193" t="s">
        <v>87</v>
      </c>
      <c r="B2306" s="617"/>
      <c r="C2306" s="618"/>
      <c r="D2306" s="412" t="s">
        <v>537</v>
      </c>
      <c r="E2306" s="44" t="s">
        <v>571</v>
      </c>
      <c r="F2306" s="44" t="s">
        <v>571</v>
      </c>
      <c r="G2306" s="29" t="s">
        <v>55</v>
      </c>
      <c r="H2306" s="29" t="s">
        <v>56</v>
      </c>
      <c r="I2306" s="614"/>
    </row>
    <row r="2307" spans="1:9" s="17" customFormat="1" ht="16.5" customHeight="1" x14ac:dyDescent="0.2">
      <c r="A2307" s="164">
        <v>1</v>
      </c>
      <c r="B2307" s="717">
        <v>2</v>
      </c>
      <c r="C2307" s="718"/>
      <c r="D2307" s="163">
        <v>3</v>
      </c>
      <c r="E2307" s="147">
        <v>4</v>
      </c>
      <c r="F2307" s="147">
        <v>5</v>
      </c>
      <c r="G2307" s="147">
        <v>6</v>
      </c>
      <c r="H2307" s="147">
        <v>7</v>
      </c>
      <c r="I2307" s="164">
        <v>8</v>
      </c>
    </row>
    <row r="2308" spans="1:9" s="17" customFormat="1" ht="16.5" customHeight="1" x14ac:dyDescent="0.2">
      <c r="A2308" s="86">
        <v>111</v>
      </c>
      <c r="B2308" s="601" t="s">
        <v>184</v>
      </c>
      <c r="C2308" s="602"/>
      <c r="D2308" s="6">
        <f>D639</f>
        <v>242352.2</v>
      </c>
      <c r="E2308" s="6">
        <f>E639</f>
        <v>233538.79</v>
      </c>
      <c r="F2308" s="6">
        <f>F639</f>
        <v>233538.79</v>
      </c>
      <c r="G2308" s="91">
        <f t="shared" ref="G2308:G2313" si="144">F2308/D2308</f>
        <v>0.96363387664729261</v>
      </c>
      <c r="H2308" s="92">
        <f t="shared" ref="H2308:H2313" si="145">F2308/E2308</f>
        <v>1</v>
      </c>
      <c r="I2308" s="92">
        <f>F2308/F2313</f>
        <v>0.11887646246573581</v>
      </c>
    </row>
    <row r="2309" spans="1:9" s="17" customFormat="1" ht="16.5" customHeight="1" x14ac:dyDescent="0.2">
      <c r="A2309" s="86">
        <v>130</v>
      </c>
      <c r="B2309" s="601" t="s">
        <v>185</v>
      </c>
      <c r="C2309" s="602"/>
      <c r="D2309" s="6">
        <f>D865</f>
        <v>201791.42</v>
      </c>
      <c r="E2309" s="6">
        <f>E865</f>
        <v>85722.12</v>
      </c>
      <c r="F2309" s="6">
        <f>F865</f>
        <v>71251.399999999994</v>
      </c>
      <c r="G2309" s="91">
        <f t="shared" si="144"/>
        <v>0.35309429905394385</v>
      </c>
      <c r="H2309" s="92">
        <f t="shared" si="145"/>
        <v>0.83119036253419765</v>
      </c>
      <c r="I2309" s="92">
        <f>F2309/F2313</f>
        <v>3.6268554691625862E-2</v>
      </c>
    </row>
    <row r="2310" spans="1:9" s="17" customFormat="1" ht="16.5" customHeight="1" x14ac:dyDescent="0.2">
      <c r="A2310" s="86">
        <v>132</v>
      </c>
      <c r="B2310" s="601" t="s">
        <v>186</v>
      </c>
      <c r="C2310" s="602"/>
      <c r="D2310" s="6">
        <f>D972</f>
        <v>65993.73</v>
      </c>
      <c r="E2310" s="6">
        <f>E972</f>
        <v>76500</v>
      </c>
      <c r="F2310" s="6">
        <f>F972</f>
        <v>76499.600000000006</v>
      </c>
      <c r="G2310" s="91">
        <f t="shared" si="144"/>
        <v>1.1591949720071892</v>
      </c>
      <c r="H2310" s="92">
        <f t="shared" si="145"/>
        <v>0.99999477124183012</v>
      </c>
      <c r="I2310" s="92">
        <f>F2310/F2313</f>
        <v>3.8940005761114907E-2</v>
      </c>
    </row>
    <row r="2311" spans="1:9" s="17" customFormat="1" ht="16.5" customHeight="1" x14ac:dyDescent="0.2">
      <c r="A2311" s="86">
        <v>200</v>
      </c>
      <c r="B2311" s="601" t="s">
        <v>187</v>
      </c>
      <c r="C2311" s="602"/>
      <c r="D2311" s="6">
        <f>D1084</f>
        <v>216343.17</v>
      </c>
      <c r="E2311" s="6">
        <f>E1084</f>
        <v>314673.83</v>
      </c>
      <c r="F2311" s="6">
        <f>F1084</f>
        <v>309941.13</v>
      </c>
      <c r="G2311" s="91">
        <f t="shared" si="144"/>
        <v>1.4326365375897931</v>
      </c>
      <c r="H2311" s="92">
        <f t="shared" si="145"/>
        <v>0.98495998221396419</v>
      </c>
      <c r="I2311" s="92">
        <f>F2311/F2313</f>
        <v>0.15776696071360455</v>
      </c>
    </row>
    <row r="2312" spans="1:9" s="17" customFormat="1" ht="16.5" customHeight="1" x14ac:dyDescent="0.2">
      <c r="A2312" s="86">
        <v>300</v>
      </c>
      <c r="B2312" s="601" t="s">
        <v>188</v>
      </c>
      <c r="C2312" s="602"/>
      <c r="D2312" s="6">
        <f>D1194</f>
        <v>917150.34</v>
      </c>
      <c r="E2312" s="6">
        <f>E1194</f>
        <v>1293764.47</v>
      </c>
      <c r="F2312" s="6">
        <f>F1194</f>
        <v>1273319.3799999999</v>
      </c>
      <c r="G2312" s="91">
        <f t="shared" si="144"/>
        <v>1.3883431368514785</v>
      </c>
      <c r="H2312" s="92">
        <f t="shared" si="145"/>
        <v>0.98419720863102689</v>
      </c>
      <c r="I2312" s="92">
        <f>F2312/F2313</f>
        <v>0.64814801636791897</v>
      </c>
    </row>
    <row r="2313" spans="1:9" s="17" customFormat="1" ht="16.5" customHeight="1" x14ac:dyDescent="0.2">
      <c r="A2313" s="168"/>
      <c r="B2313" s="342" t="s">
        <v>83</v>
      </c>
      <c r="C2313" s="343"/>
      <c r="D2313" s="508">
        <f>D2308+D2309+D2310+D2311+D2312</f>
        <v>1643630.8599999999</v>
      </c>
      <c r="E2313" s="508">
        <f>E2308+E2309+E2310+E2311+E2312</f>
        <v>2004199.21</v>
      </c>
      <c r="F2313" s="414">
        <f>F2308+F2309+F2310+F2311+F2312</f>
        <v>1964550.2999999998</v>
      </c>
      <c r="G2313" s="200">
        <f t="shared" si="144"/>
        <v>1.1952503130782053</v>
      </c>
      <c r="H2313" s="155">
        <f t="shared" si="145"/>
        <v>0.98021708131498553</v>
      </c>
      <c r="I2313" s="206">
        <f>SUM(I2308:I2312)</f>
        <v>1</v>
      </c>
    </row>
    <row r="2314" spans="1:9" s="17" customFormat="1" ht="16.5" customHeight="1" x14ac:dyDescent="0.2">
      <c r="A2314" s="314"/>
      <c r="B2314" s="314"/>
      <c r="C2314" s="314"/>
      <c r="D2314" s="314"/>
      <c r="E2314" s="314"/>
      <c r="F2314" s="314"/>
      <c r="G2314" s="156"/>
      <c r="H2314" s="20"/>
      <c r="I2314" s="315"/>
    </row>
    <row r="2315" spans="1:9" s="17" customFormat="1" ht="16.5" customHeight="1" x14ac:dyDescent="0.2">
      <c r="A2315" s="627" t="s">
        <v>949</v>
      </c>
      <c r="B2315" s="627"/>
      <c r="C2315" s="627"/>
      <c r="D2315" s="627"/>
      <c r="E2315" s="627"/>
      <c r="F2315" s="627"/>
      <c r="G2315" s="627"/>
      <c r="H2315" s="627"/>
      <c r="I2315" s="627"/>
    </row>
    <row r="2316" spans="1:9" s="17" customFormat="1" ht="16.5" customHeight="1" x14ac:dyDescent="0.2">
      <c r="A2316" s="627" t="s">
        <v>950</v>
      </c>
      <c r="B2316" s="627"/>
      <c r="C2316" s="627"/>
      <c r="D2316" s="627"/>
      <c r="E2316" s="627"/>
      <c r="F2316" s="627"/>
      <c r="G2316" s="627"/>
      <c r="H2316" s="627"/>
      <c r="I2316" s="627"/>
    </row>
    <row r="2317" spans="1:9" s="17" customFormat="1" ht="16.5" customHeight="1" x14ac:dyDescent="0.2">
      <c r="A2317" s="156" t="s">
        <v>951</v>
      </c>
      <c r="B2317" s="156"/>
      <c r="C2317" s="156"/>
      <c r="D2317" s="156"/>
      <c r="E2317" s="156"/>
      <c r="F2317" s="156"/>
      <c r="G2317" s="156"/>
      <c r="H2317" s="156"/>
      <c r="I2317" s="156"/>
    </row>
    <row r="2318" spans="1:9" s="17" customFormat="1" ht="16.5" customHeight="1" x14ac:dyDescent="0.2">
      <c r="A2318" s="621" t="s">
        <v>952</v>
      </c>
      <c r="B2318" s="621"/>
      <c r="C2318" s="621"/>
      <c r="D2318" s="621"/>
      <c r="E2318" s="621"/>
      <c r="F2318" s="621"/>
      <c r="G2318" s="621"/>
      <c r="H2318" s="621"/>
      <c r="I2318" s="621"/>
    </row>
    <row r="2319" spans="1:9" s="17" customFormat="1" ht="16.5" customHeight="1" x14ac:dyDescent="0.2">
      <c r="A2319" s="156" t="s">
        <v>953</v>
      </c>
      <c r="B2319" s="156"/>
      <c r="C2319" s="156"/>
      <c r="D2319" s="156"/>
      <c r="E2319" s="156"/>
      <c r="F2319" s="156"/>
      <c r="G2319" s="156"/>
      <c r="H2319" s="156"/>
      <c r="I2319" s="156"/>
    </row>
    <row r="2320" spans="1:9" s="17" customFormat="1" ht="16.5" customHeight="1" x14ac:dyDescent="0.2">
      <c r="A2320" s="621" t="s">
        <v>954</v>
      </c>
      <c r="B2320" s="621"/>
      <c r="C2320" s="621"/>
      <c r="D2320" s="621"/>
      <c r="E2320" s="621"/>
      <c r="F2320" s="621"/>
      <c r="G2320" s="621"/>
      <c r="H2320" s="621"/>
      <c r="I2320" s="621"/>
    </row>
    <row r="2321" spans="1:13" s="17" customFormat="1" ht="16.5" customHeight="1" x14ac:dyDescent="0.2">
      <c r="A2321" s="621" t="s">
        <v>955</v>
      </c>
      <c r="B2321" s="621"/>
      <c r="C2321" s="621"/>
      <c r="D2321" s="621"/>
      <c r="E2321" s="621"/>
      <c r="F2321" s="621"/>
      <c r="G2321" s="621"/>
      <c r="H2321" s="621"/>
      <c r="I2321" s="621"/>
    </row>
    <row r="2322" spans="1:13" s="17" customFormat="1" ht="16.5" customHeight="1" x14ac:dyDescent="0.2">
      <c r="A2322" s="732" t="s">
        <v>956</v>
      </c>
      <c r="B2322" s="732"/>
      <c r="C2322" s="732"/>
      <c r="D2322" s="732"/>
      <c r="E2322" s="732"/>
      <c r="F2322" s="732"/>
      <c r="G2322" s="732"/>
      <c r="H2322" s="732"/>
      <c r="I2322" s="732"/>
      <c r="M2322" s="453"/>
    </row>
    <row r="2323" spans="1:13" s="17" customFormat="1" ht="16.5" customHeight="1" x14ac:dyDescent="0.2">
      <c r="A2323" s="621" t="s">
        <v>957</v>
      </c>
      <c r="B2323" s="621"/>
      <c r="C2323" s="621"/>
      <c r="D2323" s="621"/>
      <c r="E2323" s="621"/>
      <c r="F2323" s="621"/>
      <c r="G2323" s="621"/>
      <c r="H2323" s="621"/>
      <c r="I2323" s="621"/>
    </row>
    <row r="2324" spans="1:13" s="17" customFormat="1" ht="16.5" customHeight="1" x14ac:dyDescent="0.2">
      <c r="A2324" s="622" t="s">
        <v>958</v>
      </c>
      <c r="B2324" s="622"/>
      <c r="C2324" s="622"/>
      <c r="D2324" s="622"/>
      <c r="E2324" s="622"/>
      <c r="F2324" s="622"/>
      <c r="G2324" s="622"/>
      <c r="H2324" s="622"/>
      <c r="I2324" s="622"/>
    </row>
    <row r="2325" spans="1:13" s="17" customFormat="1" ht="16.5" customHeight="1" x14ac:dyDescent="0.2">
      <c r="A2325" s="622" t="s">
        <v>959</v>
      </c>
      <c r="B2325" s="622"/>
      <c r="C2325" s="622"/>
      <c r="D2325" s="622"/>
      <c r="E2325" s="622"/>
      <c r="F2325" s="622"/>
      <c r="G2325" s="622"/>
      <c r="H2325" s="622"/>
      <c r="I2325" s="622"/>
    </row>
    <row r="2326" spans="1:13" s="17" customFormat="1" ht="16.5" customHeight="1" x14ac:dyDescent="0.2">
      <c r="A2326" s="156"/>
      <c r="B2326" s="156" t="s">
        <v>960</v>
      </c>
      <c r="C2326" s="156"/>
      <c r="D2326" s="156"/>
      <c r="E2326" s="156"/>
      <c r="F2326" s="156"/>
      <c r="G2326" s="156"/>
      <c r="H2326" s="156"/>
      <c r="I2326" s="156"/>
    </row>
    <row r="2327" spans="1:13" s="17" customFormat="1" ht="16.5" customHeight="1" x14ac:dyDescent="0.2">
      <c r="A2327" s="156"/>
      <c r="B2327" s="156"/>
      <c r="C2327" s="156"/>
      <c r="D2327" s="156"/>
      <c r="E2327" s="156"/>
      <c r="F2327" s="156"/>
      <c r="G2327" s="156"/>
      <c r="H2327" s="156"/>
      <c r="I2327" s="156"/>
    </row>
    <row r="2328" spans="1:13" s="17" customFormat="1" ht="16.5" customHeight="1" x14ac:dyDescent="0.2">
      <c r="A2328" s="156"/>
      <c r="B2328" s="156"/>
      <c r="C2328" s="156"/>
      <c r="D2328" s="156"/>
      <c r="E2328" s="156"/>
      <c r="F2328" s="156"/>
      <c r="G2328" s="156"/>
      <c r="H2328" s="156"/>
      <c r="I2328" s="156"/>
    </row>
    <row r="2329" spans="1:13" s="17" customFormat="1" ht="16.5" customHeight="1" x14ac:dyDescent="0.2">
      <c r="A2329" s="156"/>
      <c r="B2329" s="156"/>
      <c r="C2329" s="156"/>
      <c r="D2329" s="156"/>
      <c r="E2329" s="156"/>
      <c r="F2329" s="156"/>
      <c r="G2329" s="156"/>
      <c r="H2329" s="156"/>
      <c r="I2329" s="156"/>
    </row>
    <row r="2330" spans="1:13" s="17" customFormat="1" ht="16.5" customHeight="1" x14ac:dyDescent="0.2">
      <c r="A2330" s="156"/>
      <c r="B2330" s="156"/>
      <c r="C2330" s="156"/>
      <c r="D2330" s="156"/>
      <c r="E2330" s="156"/>
      <c r="F2330" s="156"/>
      <c r="G2330" s="156"/>
      <c r="H2330" s="156"/>
      <c r="I2330" s="156"/>
    </row>
    <row r="2331" spans="1:13" s="17" customFormat="1" ht="16.5" customHeight="1" x14ac:dyDescent="0.2">
      <c r="A2331" s="21"/>
      <c r="B2331" s="21"/>
      <c r="C2331" s="21"/>
      <c r="D2331" s="21"/>
      <c r="E2331" s="21"/>
      <c r="F2331" s="21"/>
      <c r="G2331" s="21"/>
      <c r="H2331" s="21"/>
      <c r="I2331" s="312">
        <v>41</v>
      </c>
    </row>
    <row r="2332" spans="1:13" s="17" customFormat="1" ht="16.5" customHeight="1" x14ac:dyDescent="0.2">
      <c r="A2332" s="21"/>
      <c r="B2332" s="21"/>
      <c r="C2332" s="21"/>
      <c r="D2332" s="21"/>
      <c r="E2332" s="21"/>
      <c r="F2332" s="21"/>
      <c r="G2332" s="21"/>
      <c r="H2332" s="21"/>
    </row>
    <row r="2333" spans="1:13" s="17" customFormat="1" ht="16.5" customHeight="1" x14ac:dyDescent="0.2">
      <c r="A2333" s="18"/>
      <c r="B2333" s="8" t="s">
        <v>387</v>
      </c>
      <c r="C2333" s="18"/>
      <c r="D2333" s="18"/>
      <c r="E2333" s="18"/>
      <c r="F2333" s="18"/>
      <c r="G2333" s="18"/>
      <c r="H2333" s="18"/>
      <c r="I2333" s="21"/>
    </row>
    <row r="2334" spans="1:13" s="17" customFormat="1" ht="16.5" customHeight="1" x14ac:dyDescent="0.2">
      <c r="A2334" s="18"/>
      <c r="B2334" s="18"/>
      <c r="C2334" s="18"/>
      <c r="D2334" s="18"/>
      <c r="E2334" s="18"/>
      <c r="F2334" s="18"/>
      <c r="G2334" s="18"/>
      <c r="H2334" s="18"/>
      <c r="I2334" s="21"/>
    </row>
    <row r="2335" spans="1:13" s="17" customFormat="1" ht="16.5" customHeight="1" x14ac:dyDescent="0.2">
      <c r="A2335" s="603" t="s">
        <v>961</v>
      </c>
      <c r="B2335" s="603"/>
      <c r="C2335" s="603"/>
      <c r="D2335" s="603"/>
      <c r="E2335" s="603"/>
      <c r="F2335" s="603"/>
      <c r="G2335" s="603"/>
      <c r="H2335" s="603"/>
      <c r="I2335" s="21"/>
    </row>
    <row r="2336" spans="1:13" s="17" customFormat="1" ht="16.5" customHeight="1" x14ac:dyDescent="0.2">
      <c r="A2336" s="21"/>
      <c r="B2336" s="21"/>
      <c r="C2336" s="21"/>
      <c r="D2336" s="21"/>
      <c r="E2336" s="21"/>
      <c r="F2336" s="21"/>
      <c r="G2336" s="21"/>
      <c r="H2336" s="21"/>
      <c r="I2336" s="21"/>
    </row>
    <row r="2337" spans="1:9" s="17" customFormat="1" ht="16.5" customHeight="1" x14ac:dyDescent="0.2">
      <c r="A2337" s="21"/>
      <c r="B2337" s="21" t="s">
        <v>492</v>
      </c>
      <c r="C2337" s="21"/>
      <c r="D2337" s="21"/>
      <c r="E2337" s="21"/>
      <c r="F2337" s="21"/>
      <c r="G2337" s="21"/>
      <c r="H2337" s="21"/>
      <c r="I2337" s="21"/>
    </row>
    <row r="2338" spans="1:9" s="17" customFormat="1" ht="16.5" customHeight="1" x14ac:dyDescent="0.2">
      <c r="A2338" s="156"/>
      <c r="B2338" s="156"/>
      <c r="C2338" s="260"/>
      <c r="D2338" s="766" t="s">
        <v>84</v>
      </c>
      <c r="E2338" s="766"/>
      <c r="F2338" s="766"/>
      <c r="G2338" s="156"/>
      <c r="H2338" s="276"/>
      <c r="I2338" s="21"/>
    </row>
    <row r="2339" spans="1:9" s="17" customFormat="1" ht="16.5" customHeight="1" x14ac:dyDescent="0.2">
      <c r="A2339" s="156"/>
      <c r="B2339" s="156"/>
      <c r="C2339" s="260"/>
      <c r="D2339" s="260"/>
      <c r="E2339" s="260"/>
      <c r="F2339" s="260"/>
      <c r="G2339" s="156"/>
      <c r="H2339" s="276"/>
      <c r="I2339" s="21"/>
    </row>
    <row r="2340" spans="1:9" s="17" customFormat="1" ht="16.5" customHeight="1" x14ac:dyDescent="0.2">
      <c r="A2340" s="192" t="s">
        <v>48</v>
      </c>
      <c r="B2340" s="615" t="s">
        <v>49</v>
      </c>
      <c r="C2340" s="616"/>
      <c r="D2340" s="411" t="s">
        <v>85</v>
      </c>
      <c r="E2340" s="409" t="s">
        <v>152</v>
      </c>
      <c r="F2340" s="42" t="s">
        <v>86</v>
      </c>
      <c r="G2340" s="619" t="s">
        <v>52</v>
      </c>
      <c r="H2340" s="620"/>
      <c r="I2340" s="768" t="s">
        <v>154</v>
      </c>
    </row>
    <row r="2341" spans="1:9" s="17" customFormat="1" ht="16.5" customHeight="1" x14ac:dyDescent="0.2">
      <c r="A2341" s="193" t="s">
        <v>388</v>
      </c>
      <c r="B2341" s="617"/>
      <c r="C2341" s="618"/>
      <c r="D2341" s="412" t="s">
        <v>537</v>
      </c>
      <c r="E2341" s="44" t="s">
        <v>571</v>
      </c>
      <c r="F2341" s="44" t="s">
        <v>571</v>
      </c>
      <c r="G2341" s="29" t="s">
        <v>55</v>
      </c>
      <c r="H2341" s="368" t="s">
        <v>56</v>
      </c>
      <c r="I2341" s="769"/>
    </row>
    <row r="2342" spans="1:9" s="17" customFormat="1" ht="16.5" customHeight="1" x14ac:dyDescent="0.2">
      <c r="A2342" s="149">
        <v>1</v>
      </c>
      <c r="B2342" s="717">
        <v>2</v>
      </c>
      <c r="C2342" s="718"/>
      <c r="D2342" s="147">
        <v>3</v>
      </c>
      <c r="E2342" s="148">
        <v>4</v>
      </c>
      <c r="F2342" s="147">
        <v>5</v>
      </c>
      <c r="G2342" s="147">
        <v>6</v>
      </c>
      <c r="H2342" s="147">
        <v>7</v>
      </c>
      <c r="I2342" s="369">
        <v>8</v>
      </c>
    </row>
    <row r="2343" spans="1:9" s="17" customFormat="1" ht="16.5" customHeight="1" x14ac:dyDescent="0.2">
      <c r="A2343" s="86">
        <v>111</v>
      </c>
      <c r="B2343" s="767" t="s">
        <v>184</v>
      </c>
      <c r="C2343" s="767"/>
      <c r="D2343" s="6">
        <f>D640</f>
        <v>148658.35</v>
      </c>
      <c r="E2343" s="6">
        <f>E640</f>
        <v>147961.24</v>
      </c>
      <c r="F2343" s="6">
        <f>F640</f>
        <v>147961.24</v>
      </c>
      <c r="G2343" s="91">
        <f t="shared" ref="G2343:G2348" si="146">F2343/D2343</f>
        <v>0.99531065695267018</v>
      </c>
      <c r="H2343" s="166">
        <f t="shared" ref="H2343:H2348" si="147">F2343/E2343</f>
        <v>1</v>
      </c>
      <c r="I2343" s="358">
        <f>F2343/F2348</f>
        <v>0.70429011711604839</v>
      </c>
    </row>
    <row r="2344" spans="1:9" s="17" customFormat="1" ht="16.5" customHeight="1" x14ac:dyDescent="0.2">
      <c r="A2344" s="86">
        <v>130</v>
      </c>
      <c r="B2344" s="767" t="s">
        <v>185</v>
      </c>
      <c r="C2344" s="767"/>
      <c r="D2344" s="313">
        <f>D866</f>
        <v>17150</v>
      </c>
      <c r="E2344" s="313">
        <f>E866</f>
        <v>17000</v>
      </c>
      <c r="F2344" s="313">
        <f>F866</f>
        <v>16978.580000000002</v>
      </c>
      <c r="G2344" s="91">
        <f t="shared" si="146"/>
        <v>0.99000466472303217</v>
      </c>
      <c r="H2344" s="166">
        <f t="shared" si="147"/>
        <v>0.99874000000000007</v>
      </c>
      <c r="I2344" s="358">
        <f>F2344/F2348</f>
        <v>8.0817422837658012E-2</v>
      </c>
    </row>
    <row r="2345" spans="1:9" s="17" customFormat="1" ht="16.5" customHeight="1" x14ac:dyDescent="0.2">
      <c r="A2345" s="86">
        <v>132</v>
      </c>
      <c r="B2345" s="767" t="s">
        <v>186</v>
      </c>
      <c r="C2345" s="767"/>
      <c r="D2345" s="6">
        <f>D973</f>
        <v>3468.97</v>
      </c>
      <c r="E2345" s="6">
        <f>E973</f>
        <v>5500</v>
      </c>
      <c r="F2345" s="6">
        <f>F973</f>
        <v>5500</v>
      </c>
      <c r="G2345" s="91">
        <f t="shared" si="146"/>
        <v>1.585485028697279</v>
      </c>
      <c r="H2345" s="166">
        <f t="shared" si="147"/>
        <v>1</v>
      </c>
      <c r="I2345" s="358">
        <f>F2345/F2348</f>
        <v>2.6179799818778663E-2</v>
      </c>
    </row>
    <row r="2346" spans="1:9" s="17" customFormat="1" ht="16.5" customHeight="1" x14ac:dyDescent="0.2">
      <c r="A2346" s="86">
        <v>200</v>
      </c>
      <c r="B2346" s="767" t="s">
        <v>187</v>
      </c>
      <c r="C2346" s="767"/>
      <c r="D2346" s="6">
        <f>D1085</f>
        <v>68500</v>
      </c>
      <c r="E2346" s="6">
        <f>E1085</f>
        <v>40000</v>
      </c>
      <c r="F2346" s="6">
        <f>F1085</f>
        <v>39645.82</v>
      </c>
      <c r="G2346" s="91">
        <f t="shared" si="146"/>
        <v>0.57877109489051093</v>
      </c>
      <c r="H2346" s="166">
        <f t="shared" si="147"/>
        <v>0.99114550000000001</v>
      </c>
      <c r="I2346" s="358">
        <f>F2346/F2348</f>
        <v>0.18871266022751482</v>
      </c>
    </row>
    <row r="2347" spans="1:9" s="17" customFormat="1" ht="16.5" customHeight="1" x14ac:dyDescent="0.2">
      <c r="A2347" s="86">
        <v>300</v>
      </c>
      <c r="B2347" s="767" t="s">
        <v>188</v>
      </c>
      <c r="C2347" s="767"/>
      <c r="D2347" s="6">
        <f>D1195</f>
        <v>0</v>
      </c>
      <c r="E2347" s="6">
        <f>E1195</f>
        <v>0</v>
      </c>
      <c r="F2347" s="6">
        <f>F1195</f>
        <v>0</v>
      </c>
      <c r="G2347" s="91" t="e">
        <f t="shared" si="146"/>
        <v>#DIV/0!</v>
      </c>
      <c r="H2347" s="166" t="e">
        <f t="shared" si="147"/>
        <v>#DIV/0!</v>
      </c>
      <c r="I2347" s="358">
        <f>F2347/F2348</f>
        <v>0</v>
      </c>
    </row>
    <row r="2348" spans="1:9" s="17" customFormat="1" ht="16.5" customHeight="1" x14ac:dyDescent="0.2">
      <c r="A2348" s="168"/>
      <c r="B2348" s="765" t="s">
        <v>83</v>
      </c>
      <c r="C2348" s="765"/>
      <c r="D2348" s="508">
        <f>D2343+D2344+D2345+D2346+D2347</f>
        <v>237777.32</v>
      </c>
      <c r="E2348" s="508">
        <f>E2343+E2344+E2345+E2346+E2347</f>
        <v>210461.24</v>
      </c>
      <c r="F2348" s="414">
        <f>F2343+F2344+F2345+F2346+F2347</f>
        <v>210085.64</v>
      </c>
      <c r="G2348" s="170">
        <f t="shared" si="146"/>
        <v>0.88353943933761225</v>
      </c>
      <c r="H2348" s="155">
        <f t="shared" si="147"/>
        <v>0.99821534834632741</v>
      </c>
      <c r="I2348" s="52">
        <f>I2343+I2344+I2345+I2346+I2347</f>
        <v>1</v>
      </c>
    </row>
    <row r="2349" spans="1:9" s="17" customFormat="1" ht="16.5" customHeight="1" x14ac:dyDescent="0.2">
      <c r="A2349" s="314"/>
      <c r="B2349" s="314"/>
      <c r="C2349" s="314"/>
      <c r="D2349" s="314"/>
      <c r="E2349" s="314"/>
      <c r="F2349" s="314"/>
      <c r="G2349" s="156"/>
      <c r="I2349" s="21"/>
    </row>
    <row r="2350" spans="1:9" s="17" customFormat="1" ht="16.5" customHeight="1" x14ac:dyDescent="0.2">
      <c r="A2350" s="627" t="s">
        <v>962</v>
      </c>
      <c r="B2350" s="627"/>
      <c r="C2350" s="627"/>
      <c r="D2350" s="627"/>
      <c r="E2350" s="627"/>
      <c r="F2350" s="627"/>
      <c r="G2350" s="627"/>
      <c r="H2350" s="627"/>
      <c r="I2350" s="627"/>
    </row>
    <row r="2351" spans="1:9" s="17" customFormat="1" ht="16.5" customHeight="1" x14ac:dyDescent="0.2">
      <c r="A2351" s="156"/>
      <c r="B2351" s="156" t="s">
        <v>963</v>
      </c>
      <c r="C2351" s="156"/>
      <c r="D2351" s="156"/>
      <c r="E2351" s="156"/>
      <c r="F2351" s="156"/>
      <c r="G2351" s="156"/>
      <c r="H2351" s="156"/>
      <c r="I2351" s="156"/>
    </row>
    <row r="2352" spans="1:9" s="17" customFormat="1" ht="16.5" customHeight="1" x14ac:dyDescent="0.2">
      <c r="A2352" s="156"/>
      <c r="B2352" s="156" t="s">
        <v>964</v>
      </c>
      <c r="C2352" s="156"/>
      <c r="D2352" s="156"/>
      <c r="E2352" s="156"/>
      <c r="F2352" s="156"/>
      <c r="G2352" s="156"/>
      <c r="H2352" s="156"/>
      <c r="I2352" s="156"/>
    </row>
    <row r="2353" spans="1:9" s="17" customFormat="1" ht="16.5" customHeight="1" x14ac:dyDescent="0.2">
      <c r="A2353" s="156"/>
      <c r="B2353" s="156" t="s">
        <v>965</v>
      </c>
      <c r="C2353" s="156"/>
      <c r="D2353" s="156"/>
      <c r="E2353" s="156"/>
      <c r="F2353" s="156"/>
      <c r="G2353" s="156"/>
      <c r="H2353" s="156"/>
      <c r="I2353" s="156"/>
    </row>
    <row r="2354" spans="1:9" s="17" customFormat="1" ht="16.5" customHeight="1" x14ac:dyDescent="0.2">
      <c r="A2354" s="156"/>
      <c r="B2354" s="156" t="s">
        <v>966</v>
      </c>
      <c r="C2354" s="156"/>
      <c r="D2354" s="156"/>
      <c r="E2354" s="156"/>
      <c r="F2354" s="156"/>
      <c r="G2354" s="156"/>
      <c r="H2354" s="156"/>
      <c r="I2354" s="156"/>
    </row>
    <row r="2355" spans="1:9" s="17" customFormat="1" ht="16.5" customHeight="1" x14ac:dyDescent="0.2">
      <c r="A2355" s="156"/>
      <c r="B2355" s="156"/>
      <c r="C2355" s="156"/>
      <c r="D2355" s="156"/>
      <c r="E2355" s="156"/>
      <c r="F2355" s="156"/>
      <c r="G2355" s="156"/>
      <c r="H2355" s="156"/>
      <c r="I2355" s="156"/>
    </row>
    <row r="2356" spans="1:9" s="17" customFormat="1" ht="16.5" customHeight="1" x14ac:dyDescent="0.2">
      <c r="A2356" s="156"/>
      <c r="B2356" s="156"/>
      <c r="C2356" s="156"/>
      <c r="D2356" s="156"/>
      <c r="E2356" s="156"/>
      <c r="F2356" s="156"/>
      <c r="G2356" s="156"/>
      <c r="H2356" s="156"/>
      <c r="I2356" s="156"/>
    </row>
    <row r="2357" spans="1:9" s="17" customFormat="1" ht="16.5" customHeight="1" x14ac:dyDescent="0.2">
      <c r="A2357" s="156"/>
      <c r="B2357" s="156"/>
      <c r="C2357" s="156"/>
      <c r="D2357" s="156"/>
      <c r="E2357" s="156"/>
      <c r="F2357" s="156"/>
      <c r="G2357" s="156"/>
      <c r="H2357" s="156"/>
      <c r="I2357" s="156"/>
    </row>
    <row r="2358" spans="1:9" s="17" customFormat="1" ht="16.5" customHeight="1" x14ac:dyDescent="0.2">
      <c r="A2358" s="156"/>
      <c r="B2358" s="156"/>
      <c r="C2358" s="156"/>
      <c r="D2358" s="156"/>
      <c r="E2358" s="156"/>
      <c r="F2358" s="156"/>
      <c r="G2358" s="156"/>
      <c r="H2358" s="156"/>
      <c r="I2358" s="156"/>
    </row>
    <row r="2359" spans="1:9" s="17" customFormat="1" ht="16.5" customHeight="1" x14ac:dyDescent="0.2">
      <c r="A2359" s="156"/>
      <c r="B2359" s="156"/>
      <c r="C2359" s="156"/>
      <c r="D2359" s="156"/>
      <c r="E2359" s="156"/>
      <c r="F2359" s="156"/>
      <c r="G2359" s="156"/>
      <c r="H2359" s="156"/>
      <c r="I2359" s="156"/>
    </row>
    <row r="2360" spans="1:9" s="17" customFormat="1" ht="16.5" customHeight="1" x14ac:dyDescent="0.2">
      <c r="A2360" s="156"/>
      <c r="B2360" s="156"/>
      <c r="C2360" s="156"/>
      <c r="D2360" s="156"/>
      <c r="E2360" s="156"/>
      <c r="F2360" s="156"/>
      <c r="G2360" s="156"/>
      <c r="H2360" s="156"/>
      <c r="I2360" s="156"/>
    </row>
    <row r="2361" spans="1:9" s="17" customFormat="1" ht="16.5" customHeight="1" x14ac:dyDescent="0.2">
      <c r="A2361" s="156"/>
      <c r="B2361" s="156"/>
      <c r="C2361" s="156"/>
      <c r="D2361" s="156"/>
      <c r="E2361" s="156"/>
      <c r="F2361" s="156"/>
      <c r="G2361" s="156"/>
      <c r="H2361" s="156"/>
      <c r="I2361" s="156"/>
    </row>
    <row r="2362" spans="1:9" s="17" customFormat="1" ht="16.5" customHeight="1" x14ac:dyDescent="0.2">
      <c r="A2362" s="156"/>
      <c r="B2362" s="156"/>
      <c r="C2362" s="156"/>
      <c r="D2362" s="156"/>
      <c r="E2362" s="156"/>
      <c r="F2362" s="156"/>
      <c r="G2362" s="156"/>
      <c r="H2362" s="156"/>
      <c r="I2362" s="156"/>
    </row>
    <row r="2363" spans="1:9" s="17" customFormat="1" ht="16.5" customHeight="1" x14ac:dyDescent="0.2">
      <c r="A2363" s="156"/>
      <c r="B2363" s="156"/>
      <c r="C2363" s="156"/>
      <c r="D2363" s="156"/>
      <c r="E2363" s="156"/>
      <c r="F2363" s="156"/>
      <c r="G2363" s="156"/>
      <c r="H2363" s="156"/>
      <c r="I2363" s="156"/>
    </row>
    <row r="2364" spans="1:9" s="17" customFormat="1" ht="16.5" customHeight="1" x14ac:dyDescent="0.2">
      <c r="A2364" s="156"/>
      <c r="B2364" s="156"/>
      <c r="C2364" s="156"/>
      <c r="D2364" s="156"/>
      <c r="E2364" s="156"/>
      <c r="F2364" s="156"/>
      <c r="G2364" s="156"/>
      <c r="H2364" s="156"/>
      <c r="I2364" s="156"/>
    </row>
    <row r="2365" spans="1:9" s="17" customFormat="1" ht="16.5" customHeight="1" x14ac:dyDescent="0.2">
      <c r="A2365" s="156"/>
      <c r="B2365" s="156"/>
      <c r="C2365" s="156"/>
      <c r="D2365" s="156"/>
      <c r="E2365" s="156"/>
      <c r="F2365" s="156"/>
      <c r="G2365" s="156"/>
      <c r="H2365" s="156"/>
      <c r="I2365" s="156"/>
    </row>
    <row r="2366" spans="1:9" s="17" customFormat="1" ht="16.5" customHeight="1" x14ac:dyDescent="0.2">
      <c r="A2366" s="156"/>
      <c r="B2366" s="156"/>
      <c r="C2366" s="156"/>
      <c r="D2366" s="156"/>
      <c r="E2366" s="156"/>
      <c r="F2366" s="156"/>
      <c r="G2366" s="156"/>
      <c r="H2366" s="156"/>
      <c r="I2366" s="156"/>
    </row>
    <row r="2367" spans="1:9" s="17" customFormat="1" ht="16.5" customHeight="1" x14ac:dyDescent="0.2">
      <c r="A2367" s="156"/>
      <c r="B2367" s="156"/>
      <c r="C2367" s="156"/>
      <c r="D2367" s="156"/>
      <c r="E2367" s="156"/>
      <c r="F2367" s="156"/>
      <c r="G2367" s="156"/>
      <c r="H2367" s="156"/>
      <c r="I2367" s="156"/>
    </row>
    <row r="2368" spans="1:9" s="17" customFormat="1" ht="16.5" customHeight="1" x14ac:dyDescent="0.2">
      <c r="A2368" s="156"/>
      <c r="B2368" s="156"/>
      <c r="C2368" s="156"/>
      <c r="D2368" s="156"/>
      <c r="E2368" s="156"/>
      <c r="F2368" s="156"/>
      <c r="G2368" s="156"/>
      <c r="H2368" s="156"/>
      <c r="I2368" s="156"/>
    </row>
    <row r="2369" spans="1:9" s="17" customFormat="1" ht="16.5" customHeight="1" x14ac:dyDescent="0.2">
      <c r="A2369" s="156"/>
      <c r="B2369" s="156"/>
      <c r="C2369" s="156"/>
      <c r="D2369" s="156"/>
      <c r="E2369" s="156"/>
      <c r="F2369" s="156"/>
      <c r="G2369" s="156"/>
      <c r="H2369" s="156"/>
      <c r="I2369" s="156"/>
    </row>
    <row r="2370" spans="1:9" s="17" customFormat="1" ht="16.5" customHeight="1" x14ac:dyDescent="0.2">
      <c r="A2370" s="156"/>
      <c r="B2370" s="156"/>
      <c r="C2370" s="156"/>
      <c r="D2370" s="156"/>
      <c r="E2370" s="156"/>
      <c r="F2370" s="156"/>
      <c r="G2370" s="156"/>
      <c r="H2370" s="156"/>
      <c r="I2370" s="156"/>
    </row>
    <row r="2371" spans="1:9" s="17" customFormat="1" ht="16.5" customHeight="1" x14ac:dyDescent="0.2">
      <c r="A2371" s="156"/>
      <c r="B2371" s="156"/>
      <c r="C2371" s="156"/>
      <c r="D2371" s="156"/>
      <c r="E2371" s="156"/>
      <c r="F2371" s="156"/>
      <c r="G2371" s="156"/>
      <c r="H2371" s="156"/>
      <c r="I2371" s="156"/>
    </row>
    <row r="2372" spans="1:9" s="17" customFormat="1" ht="16.5" customHeight="1" x14ac:dyDescent="0.2">
      <c r="A2372" s="156"/>
      <c r="B2372" s="156"/>
      <c r="C2372" s="156"/>
      <c r="D2372" s="156"/>
      <c r="E2372" s="156"/>
      <c r="F2372" s="156"/>
      <c r="G2372" s="156"/>
      <c r="H2372" s="156"/>
      <c r="I2372" s="156"/>
    </row>
    <row r="2373" spans="1:9" s="17" customFormat="1" ht="16.5" customHeight="1" x14ac:dyDescent="0.2">
      <c r="A2373" s="156"/>
      <c r="B2373" s="156"/>
      <c r="C2373" s="156"/>
      <c r="D2373" s="156"/>
      <c r="E2373" s="156"/>
      <c r="F2373" s="156"/>
      <c r="G2373" s="156"/>
      <c r="H2373" s="156"/>
      <c r="I2373" s="156"/>
    </row>
    <row r="2374" spans="1:9" s="17" customFormat="1" ht="16.5" customHeight="1" x14ac:dyDescent="0.2">
      <c r="A2374" s="156"/>
      <c r="B2374" s="156"/>
      <c r="C2374" s="156"/>
      <c r="D2374" s="156"/>
      <c r="E2374" s="156"/>
      <c r="F2374" s="156"/>
      <c r="G2374" s="156"/>
      <c r="H2374" s="156"/>
      <c r="I2374" s="156"/>
    </row>
    <row r="2375" spans="1:9" s="17" customFormat="1" ht="16.5" customHeight="1" x14ac:dyDescent="0.2">
      <c r="A2375" s="156"/>
      <c r="B2375" s="156"/>
      <c r="C2375" s="156"/>
      <c r="D2375" s="156"/>
      <c r="E2375" s="156"/>
      <c r="F2375" s="156"/>
      <c r="G2375" s="156"/>
      <c r="H2375" s="156"/>
      <c r="I2375" s="156"/>
    </row>
    <row r="2376" spans="1:9" s="17" customFormat="1" ht="16.5" customHeight="1" x14ac:dyDescent="0.2">
      <c r="A2376" s="156"/>
      <c r="B2376" s="156"/>
      <c r="C2376" s="156"/>
      <c r="D2376" s="156"/>
      <c r="E2376" s="156"/>
      <c r="F2376" s="156"/>
      <c r="G2376" s="156"/>
      <c r="H2376" s="156"/>
      <c r="I2376" s="156"/>
    </row>
    <row r="2377" spans="1:9" s="17" customFormat="1" ht="16.5" customHeight="1" x14ac:dyDescent="0.2">
      <c r="A2377" s="156"/>
      <c r="B2377" s="156"/>
      <c r="C2377" s="156"/>
      <c r="D2377" s="156"/>
      <c r="E2377" s="156"/>
      <c r="F2377" s="156"/>
      <c r="G2377" s="156"/>
      <c r="H2377" s="156"/>
      <c r="I2377" s="156"/>
    </row>
    <row r="2378" spans="1:9" s="17" customFormat="1" ht="16.5" customHeight="1" x14ac:dyDescent="0.2">
      <c r="A2378" s="156"/>
      <c r="B2378" s="156"/>
      <c r="C2378" s="156"/>
      <c r="D2378" s="156"/>
      <c r="E2378" s="156"/>
      <c r="F2378" s="156"/>
      <c r="G2378" s="156"/>
      <c r="H2378" s="156"/>
      <c r="I2378" s="156"/>
    </row>
    <row r="2379" spans="1:9" s="17" customFormat="1" ht="16.5" customHeight="1" x14ac:dyDescent="0.2">
      <c r="A2379" s="156"/>
      <c r="B2379" s="156"/>
      <c r="C2379" s="156"/>
      <c r="D2379" s="156"/>
      <c r="E2379" s="156"/>
      <c r="F2379" s="156"/>
      <c r="G2379" s="156"/>
      <c r="H2379" s="156"/>
      <c r="I2379" s="156"/>
    </row>
    <row r="2380" spans="1:9" s="17" customFormat="1" ht="16.5" customHeight="1" x14ac:dyDescent="0.2">
      <c r="A2380" s="156"/>
      <c r="B2380" s="156"/>
      <c r="C2380" s="156"/>
      <c r="D2380" s="156"/>
      <c r="E2380" s="156"/>
      <c r="F2380" s="156"/>
      <c r="G2380" s="156"/>
      <c r="H2380" s="156"/>
      <c r="I2380" s="156"/>
    </row>
    <row r="2381" spans="1:9" s="17" customFormat="1" ht="16.5" customHeight="1" x14ac:dyDescent="0.2">
      <c r="A2381" s="156"/>
      <c r="B2381" s="156"/>
      <c r="C2381" s="156"/>
      <c r="D2381" s="156"/>
      <c r="E2381" s="156"/>
      <c r="F2381" s="156"/>
      <c r="G2381" s="156"/>
      <c r="H2381" s="156"/>
      <c r="I2381" s="156"/>
    </row>
    <row r="2382" spans="1:9" s="17" customFormat="1" ht="16.5" customHeight="1" x14ac:dyDescent="0.2">
      <c r="A2382" s="156"/>
      <c r="B2382" s="156"/>
      <c r="C2382" s="156"/>
      <c r="D2382" s="156"/>
      <c r="E2382" s="156"/>
      <c r="F2382" s="156"/>
      <c r="G2382" s="156"/>
      <c r="H2382" s="156"/>
      <c r="I2382" s="156"/>
    </row>
    <row r="2383" spans="1:9" s="17" customFormat="1" ht="16.5" customHeight="1" x14ac:dyDescent="0.2">
      <c r="A2383" s="156"/>
      <c r="B2383" s="156"/>
      <c r="C2383" s="156"/>
      <c r="D2383" s="156"/>
      <c r="E2383" s="156"/>
      <c r="F2383" s="156"/>
      <c r="G2383" s="156"/>
      <c r="H2383" s="156"/>
      <c r="I2383" s="156"/>
    </row>
    <row r="2384" spans="1:9" s="17" customFormat="1" ht="16.5" customHeight="1" x14ac:dyDescent="0.2">
      <c r="A2384" s="156"/>
      <c r="B2384" s="156"/>
      <c r="C2384" s="156"/>
      <c r="D2384" s="156"/>
      <c r="E2384" s="156"/>
      <c r="F2384" s="156"/>
      <c r="G2384" s="156"/>
      <c r="H2384" s="156"/>
      <c r="I2384" s="156"/>
    </row>
    <row r="2385" spans="1:10" s="17" customFormat="1" ht="16.5" customHeight="1" x14ac:dyDescent="0.2">
      <c r="A2385" s="156"/>
      <c r="B2385" s="156"/>
      <c r="C2385" s="156"/>
      <c r="D2385" s="156"/>
      <c r="E2385" s="156"/>
      <c r="F2385" s="156"/>
      <c r="G2385" s="156"/>
      <c r="H2385" s="156"/>
      <c r="I2385" s="156"/>
    </row>
    <row r="2386" spans="1:10" s="17" customFormat="1" ht="16.5" customHeight="1" x14ac:dyDescent="0.2">
      <c r="A2386" s="156"/>
      <c r="B2386" s="156"/>
      <c r="C2386" s="156"/>
      <c r="D2386" s="156"/>
      <c r="E2386" s="156"/>
      <c r="F2386" s="156"/>
      <c r="G2386" s="156"/>
      <c r="H2386" s="156"/>
      <c r="I2386" s="160">
        <v>42</v>
      </c>
    </row>
    <row r="2387" spans="1:10" s="17" customFormat="1" ht="16.5" customHeight="1" x14ac:dyDescent="0.2">
      <c r="A2387" s="156"/>
      <c r="B2387" s="156"/>
      <c r="C2387" s="156"/>
      <c r="D2387" s="156"/>
      <c r="E2387" s="156"/>
      <c r="F2387" s="156"/>
      <c r="G2387" s="156"/>
      <c r="H2387" s="156"/>
      <c r="I2387" s="160"/>
    </row>
    <row r="2388" spans="1:10" s="17" customFormat="1" ht="16.5" customHeight="1" x14ac:dyDescent="0.2">
      <c r="A2388" s="156"/>
      <c r="B2388" s="156"/>
      <c r="C2388" s="156"/>
      <c r="D2388" s="156"/>
      <c r="E2388" s="156"/>
      <c r="F2388" s="156"/>
      <c r="G2388" s="156"/>
      <c r="H2388" s="156"/>
      <c r="I2388" s="160"/>
      <c r="J2388" s="17" t="s">
        <v>190</v>
      </c>
    </row>
    <row r="2389" spans="1:10" s="17" customFormat="1" ht="16.5" customHeight="1" x14ac:dyDescent="0.2">
      <c r="A2389" s="279"/>
      <c r="B2389" s="635" t="s">
        <v>362</v>
      </c>
      <c r="C2389" s="635"/>
      <c r="D2389" s="635"/>
      <c r="E2389" s="279"/>
      <c r="F2389" s="279"/>
      <c r="G2389" s="20"/>
      <c r="H2389" s="297"/>
      <c r="I2389" s="280"/>
    </row>
    <row r="2390" spans="1:10" s="17" customFormat="1" ht="16.5" customHeight="1" x14ac:dyDescent="0.2">
      <c r="A2390" s="279"/>
      <c r="B2390" s="279"/>
      <c r="C2390" s="279"/>
      <c r="D2390" s="279"/>
      <c r="E2390" s="279"/>
      <c r="F2390" s="279"/>
      <c r="G2390" s="20"/>
      <c r="H2390" s="297"/>
      <c r="I2390" s="280"/>
    </row>
    <row r="2391" spans="1:10" s="17" customFormat="1" ht="16.5" customHeight="1" x14ac:dyDescent="0.2">
      <c r="A2391" s="303"/>
      <c r="B2391" s="627" t="s">
        <v>967</v>
      </c>
      <c r="C2391" s="627"/>
      <c r="D2391" s="627"/>
      <c r="E2391" s="627"/>
      <c r="F2391" s="627"/>
      <c r="G2391" s="627"/>
      <c r="H2391" s="627"/>
      <c r="I2391" s="627"/>
    </row>
    <row r="2392" spans="1:10" s="17" customFormat="1" ht="19.5" customHeight="1" x14ac:dyDescent="0.2">
      <c r="A2392" s="627" t="s">
        <v>968</v>
      </c>
      <c r="B2392" s="627"/>
      <c r="C2392" s="627"/>
      <c r="D2392" s="627"/>
      <c r="E2392" s="627"/>
      <c r="F2392" s="627"/>
      <c r="G2392" s="627"/>
      <c r="H2392" s="627"/>
      <c r="I2392" s="627"/>
    </row>
    <row r="2393" spans="1:10" s="17" customFormat="1" ht="16.5" customHeight="1" x14ac:dyDescent="0.2">
      <c r="A2393" s="145"/>
      <c r="B2393" s="145"/>
      <c r="C2393" s="145"/>
      <c r="D2393" s="145"/>
      <c r="E2393" s="605" t="s">
        <v>84</v>
      </c>
      <c r="F2393" s="145"/>
      <c r="G2393" s="145"/>
      <c r="H2393" s="145"/>
      <c r="I2393" s="145"/>
    </row>
    <row r="2394" spans="1:10" s="17" customFormat="1" ht="16.5" customHeight="1" x14ac:dyDescent="0.2">
      <c r="A2394" s="224"/>
      <c r="B2394" s="247"/>
      <c r="C2394" s="15"/>
      <c r="D2394" s="156"/>
      <c r="E2394" s="605"/>
      <c r="F2394" s="156"/>
      <c r="G2394" s="224"/>
      <c r="H2394" s="156"/>
      <c r="I2394" s="156"/>
    </row>
    <row r="2395" spans="1:10" s="17" customFormat="1" ht="16.5" customHeight="1" x14ac:dyDescent="0.2">
      <c r="A2395" s="192" t="s">
        <v>48</v>
      </c>
      <c r="B2395" s="615" t="s">
        <v>49</v>
      </c>
      <c r="C2395" s="616"/>
      <c r="D2395" s="411" t="s">
        <v>85</v>
      </c>
      <c r="E2395" s="409" t="s">
        <v>152</v>
      </c>
      <c r="F2395" s="42" t="s">
        <v>86</v>
      </c>
      <c r="G2395" s="619" t="s">
        <v>52</v>
      </c>
      <c r="H2395" s="620"/>
      <c r="I2395" s="613" t="s">
        <v>53</v>
      </c>
    </row>
    <row r="2396" spans="1:10" s="17" customFormat="1" ht="16.5" customHeight="1" x14ac:dyDescent="0.2">
      <c r="A2396" s="193" t="s">
        <v>87</v>
      </c>
      <c r="B2396" s="617"/>
      <c r="C2396" s="618"/>
      <c r="D2396" s="412" t="s">
        <v>537</v>
      </c>
      <c r="E2396" s="44" t="s">
        <v>571</v>
      </c>
      <c r="F2396" s="44" t="s">
        <v>571</v>
      </c>
      <c r="G2396" s="29" t="s">
        <v>55</v>
      </c>
      <c r="H2396" s="29" t="s">
        <v>56</v>
      </c>
      <c r="I2396" s="614"/>
    </row>
    <row r="2397" spans="1:10" s="17" customFormat="1" ht="16.5" customHeight="1" x14ac:dyDescent="0.2">
      <c r="A2397" s="194">
        <v>1</v>
      </c>
      <c r="B2397" s="749">
        <v>2</v>
      </c>
      <c r="C2397" s="750"/>
      <c r="D2397" s="196">
        <v>3</v>
      </c>
      <c r="E2397" s="197">
        <v>4</v>
      </c>
      <c r="F2397" s="197">
        <v>5</v>
      </c>
      <c r="G2397" s="197">
        <v>6</v>
      </c>
      <c r="H2397" s="197">
        <v>7</v>
      </c>
      <c r="I2397" s="194">
        <v>8</v>
      </c>
    </row>
    <row r="2398" spans="1:10" s="17" customFormat="1" ht="16.5" customHeight="1" x14ac:dyDescent="0.2">
      <c r="A2398" s="86">
        <v>111</v>
      </c>
      <c r="B2398" s="601" t="s">
        <v>184</v>
      </c>
      <c r="C2398" s="602"/>
      <c r="D2398" s="6">
        <f>D642</f>
        <v>98201.94</v>
      </c>
      <c r="E2398" s="6">
        <f>E642</f>
        <v>109502.03</v>
      </c>
      <c r="F2398" s="6">
        <f>F642</f>
        <v>109502.03</v>
      </c>
      <c r="G2398" s="91">
        <f t="shared" ref="G2398:G2403" si="148">F2398/D2398</f>
        <v>1.115069926317138</v>
      </c>
      <c r="H2398" s="92">
        <f t="shared" ref="H2398:H2403" si="149">F2398/E2398</f>
        <v>1</v>
      </c>
      <c r="I2398" s="92">
        <f>F2398/F2403</f>
        <v>0.11688640708125075</v>
      </c>
    </row>
    <row r="2399" spans="1:10" s="17" customFormat="1" ht="16.5" customHeight="1" x14ac:dyDescent="0.2">
      <c r="A2399" s="86">
        <v>130</v>
      </c>
      <c r="B2399" s="601" t="s">
        <v>185</v>
      </c>
      <c r="C2399" s="602"/>
      <c r="D2399" s="6">
        <f>D868</f>
        <v>1100977.8999999999</v>
      </c>
      <c r="E2399" s="6">
        <f>E868</f>
        <v>634094.65</v>
      </c>
      <c r="F2399" s="6">
        <f>F868</f>
        <v>629735.77</v>
      </c>
      <c r="G2399" s="91">
        <f t="shared" si="148"/>
        <v>0.57197857468347013</v>
      </c>
      <c r="H2399" s="92">
        <f t="shared" si="149"/>
        <v>0.99312582120035231</v>
      </c>
      <c r="I2399" s="92">
        <f>F2399/F2403</f>
        <v>0.6722026209545604</v>
      </c>
    </row>
    <row r="2400" spans="1:10" s="17" customFormat="1" ht="16.5" customHeight="1" x14ac:dyDescent="0.2">
      <c r="A2400" s="86">
        <v>132</v>
      </c>
      <c r="B2400" s="601" t="s">
        <v>186</v>
      </c>
      <c r="C2400" s="602"/>
      <c r="D2400" s="6">
        <f>D975</f>
        <v>179238.43</v>
      </c>
      <c r="E2400" s="6">
        <f>E975</f>
        <v>128000</v>
      </c>
      <c r="F2400" s="6">
        <f>F975</f>
        <v>127996.53</v>
      </c>
      <c r="G2400" s="91">
        <f t="shared" si="148"/>
        <v>0.71411320663766142</v>
      </c>
      <c r="H2400" s="92">
        <f t="shared" si="149"/>
        <v>0.99997289062499994</v>
      </c>
      <c r="I2400" s="92">
        <f>F2400/F2403</f>
        <v>0.1366281018769015</v>
      </c>
    </row>
    <row r="2401" spans="1:9" s="17" customFormat="1" ht="16.5" customHeight="1" x14ac:dyDescent="0.2">
      <c r="A2401" s="86">
        <v>200</v>
      </c>
      <c r="B2401" s="601" t="s">
        <v>187</v>
      </c>
      <c r="C2401" s="602"/>
      <c r="D2401" s="6">
        <f>D1087</f>
        <v>0</v>
      </c>
      <c r="E2401" s="6">
        <f>E1087</f>
        <v>0</v>
      </c>
      <c r="F2401" s="6">
        <f>F1087</f>
        <v>0</v>
      </c>
      <c r="G2401" s="91" t="e">
        <f t="shared" si="148"/>
        <v>#DIV/0!</v>
      </c>
      <c r="H2401" s="92" t="e">
        <f t="shared" si="149"/>
        <v>#DIV/0!</v>
      </c>
      <c r="I2401" s="92">
        <f>F2401/F2403</f>
        <v>0</v>
      </c>
    </row>
    <row r="2402" spans="1:9" s="17" customFormat="1" ht="16.5" customHeight="1" x14ac:dyDescent="0.2">
      <c r="A2402" s="86">
        <v>300</v>
      </c>
      <c r="B2402" s="601" t="s">
        <v>188</v>
      </c>
      <c r="C2402" s="602"/>
      <c r="D2402" s="6">
        <f>D1197</f>
        <v>685850.18</v>
      </c>
      <c r="E2402" s="6">
        <f>E1197</f>
        <v>72143.77</v>
      </c>
      <c r="F2402" s="6">
        <f>F1197</f>
        <v>69590</v>
      </c>
      <c r="G2402" s="91">
        <f t="shared" si="148"/>
        <v>0.10146530835641102</v>
      </c>
      <c r="H2402" s="92">
        <f t="shared" si="149"/>
        <v>0.96460165583251323</v>
      </c>
      <c r="I2402" s="92">
        <f>F2402/F2403</f>
        <v>7.4282870087287331E-2</v>
      </c>
    </row>
    <row r="2403" spans="1:9" s="17" customFormat="1" ht="16.5" customHeight="1" x14ac:dyDescent="0.2">
      <c r="A2403" s="168"/>
      <c r="B2403" s="342" t="s">
        <v>83</v>
      </c>
      <c r="C2403" s="343"/>
      <c r="D2403" s="509">
        <f>D2398+D2399+D2400+D2401+D2402</f>
        <v>2064268.4499999997</v>
      </c>
      <c r="E2403" s="509">
        <f t="shared" ref="E2403" si="150">E2398+E2399+E2400+E2401+E2402</f>
        <v>943740.45000000007</v>
      </c>
      <c r="F2403" s="509">
        <f>F2398+F2399+F2400+F2401+F2402</f>
        <v>936824.33000000007</v>
      </c>
      <c r="G2403" s="200">
        <f t="shared" si="148"/>
        <v>0.45382873046381161</v>
      </c>
      <c r="H2403" s="155">
        <f t="shared" si="149"/>
        <v>0.99267158676943434</v>
      </c>
      <c r="I2403" s="206">
        <f>I2398+I2399+I2400+I2401+I2402</f>
        <v>1</v>
      </c>
    </row>
    <row r="2404" spans="1:9" s="17" customFormat="1" ht="16.5" customHeight="1" x14ac:dyDescent="0.2">
      <c r="A2404" s="201"/>
      <c r="B2404" s="259"/>
      <c r="C2404" s="325"/>
      <c r="D2404" s="325"/>
      <c r="E2404" s="187"/>
      <c r="F2404" s="188"/>
      <c r="G2404" s="189"/>
      <c r="H2404" s="294"/>
      <c r="I2404" s="280"/>
    </row>
    <row r="2405" spans="1:9" s="17" customFormat="1" ht="16.5" customHeight="1" x14ac:dyDescent="0.2">
      <c r="A2405" s="156" t="s">
        <v>969</v>
      </c>
      <c r="B2405" s="156"/>
      <c r="C2405" s="156"/>
      <c r="D2405" s="156"/>
      <c r="E2405" s="156"/>
      <c r="F2405" s="156"/>
      <c r="G2405" s="156"/>
      <c r="H2405" s="156"/>
      <c r="I2405" s="156"/>
    </row>
    <row r="2406" spans="1:9" s="17" customFormat="1" ht="18.75" customHeight="1" x14ac:dyDescent="0.2">
      <c r="A2406" s="621" t="s">
        <v>970</v>
      </c>
      <c r="B2406" s="621"/>
      <c r="C2406" s="621"/>
      <c r="D2406" s="621"/>
      <c r="E2406" s="621"/>
      <c r="F2406" s="621"/>
      <c r="G2406" s="621"/>
      <c r="H2406" s="621"/>
      <c r="I2406" s="621"/>
    </row>
    <row r="2407" spans="1:9" s="17" customFormat="1" ht="16.5" customHeight="1" x14ac:dyDescent="0.2">
      <c r="A2407" s="156" t="s">
        <v>971</v>
      </c>
      <c r="B2407" s="156"/>
      <c r="C2407" s="156"/>
      <c r="D2407" s="156"/>
      <c r="E2407" s="156"/>
      <c r="F2407" s="156"/>
      <c r="G2407" s="156"/>
      <c r="H2407" s="156"/>
      <c r="I2407" s="156"/>
    </row>
    <row r="2408" spans="1:9" s="17" customFormat="1" ht="16.5" customHeight="1" x14ac:dyDescent="0.2">
      <c r="A2408" s="621" t="s">
        <v>972</v>
      </c>
      <c r="B2408" s="621"/>
      <c r="C2408" s="621"/>
      <c r="D2408" s="621"/>
      <c r="E2408" s="621"/>
      <c r="F2408" s="621"/>
      <c r="G2408" s="621"/>
      <c r="H2408" s="621"/>
      <c r="I2408" s="621"/>
    </row>
    <row r="2409" spans="1:9" s="17" customFormat="1" ht="16.5" customHeight="1" x14ac:dyDescent="0.2">
      <c r="A2409" s="621" t="s">
        <v>973</v>
      </c>
      <c r="B2409" s="621"/>
      <c r="C2409" s="621"/>
      <c r="D2409" s="621"/>
      <c r="E2409" s="621"/>
      <c r="F2409" s="621"/>
      <c r="G2409" s="621"/>
      <c r="H2409" s="621"/>
      <c r="I2409" s="621"/>
    </row>
    <row r="2410" spans="1:9" s="17" customFormat="1" ht="16.5" customHeight="1" x14ac:dyDescent="0.2">
      <c r="A2410" s="145"/>
      <c r="B2410" s="621" t="s">
        <v>974</v>
      </c>
      <c r="C2410" s="621"/>
      <c r="D2410" s="621"/>
      <c r="E2410" s="621"/>
      <c r="F2410" s="621"/>
      <c r="G2410" s="621"/>
      <c r="H2410" s="621"/>
      <c r="I2410" s="621"/>
    </row>
    <row r="2411" spans="1:9" s="17" customFormat="1" ht="16.5" customHeight="1" x14ac:dyDescent="0.2">
      <c r="A2411" s="621" t="s">
        <v>975</v>
      </c>
      <c r="B2411" s="621"/>
      <c r="C2411" s="621"/>
      <c r="D2411" s="621"/>
      <c r="E2411" s="621"/>
      <c r="F2411" s="621"/>
      <c r="G2411" s="621"/>
      <c r="H2411" s="621"/>
      <c r="I2411" s="621"/>
    </row>
    <row r="2412" spans="1:9" s="17" customFormat="1" ht="16.5" customHeight="1" x14ac:dyDescent="0.2">
      <c r="A2412" s="621" t="s">
        <v>976</v>
      </c>
      <c r="B2412" s="621"/>
      <c r="C2412" s="621"/>
      <c r="D2412" s="621"/>
      <c r="E2412" s="621"/>
      <c r="F2412" s="621"/>
      <c r="G2412" s="621"/>
      <c r="H2412" s="621"/>
      <c r="I2412" s="621"/>
    </row>
    <row r="2413" spans="1:9" s="17" customFormat="1" ht="16.5" customHeight="1" x14ac:dyDescent="0.2">
      <c r="A2413" s="347"/>
      <c r="B2413" s="770" t="s">
        <v>977</v>
      </c>
      <c r="C2413" s="770"/>
      <c r="D2413" s="770"/>
      <c r="E2413" s="770"/>
      <c r="F2413" s="770"/>
      <c r="G2413" s="770"/>
      <c r="H2413" s="770"/>
      <c r="I2413" s="770"/>
    </row>
    <row r="2414" spans="1:9" s="17" customFormat="1" ht="16.5" customHeight="1" x14ac:dyDescent="0.2">
      <c r="A2414" s="770" t="s">
        <v>455</v>
      </c>
      <c r="B2414" s="770"/>
      <c r="C2414" s="770"/>
      <c r="D2414" s="770"/>
      <c r="E2414" s="770"/>
      <c r="F2414" s="770"/>
      <c r="G2414" s="770"/>
      <c r="H2414" s="770"/>
      <c r="I2414" s="770"/>
    </row>
    <row r="2415" spans="1:9" s="17" customFormat="1" ht="16.5" customHeight="1" x14ac:dyDescent="0.2">
      <c r="A2415" s="347"/>
      <c r="B2415" s="348"/>
      <c r="C2415" s="348"/>
      <c r="D2415" s="348"/>
      <c r="E2415" s="348"/>
      <c r="F2415" s="348"/>
      <c r="G2415" s="348"/>
      <c r="H2415" s="348"/>
      <c r="I2415" s="348"/>
    </row>
    <row r="2416" spans="1:9" s="17" customFormat="1" ht="16.5" customHeight="1" x14ac:dyDescent="0.2">
      <c r="A2416" s="347"/>
      <c r="B2416" s="348"/>
      <c r="C2416" s="348"/>
      <c r="D2416" s="348"/>
      <c r="E2416" s="348"/>
      <c r="F2416" s="348"/>
      <c r="G2416" s="348"/>
      <c r="H2416" s="348"/>
      <c r="I2416" s="315"/>
    </row>
    <row r="2417" spans="1:11" s="17" customFormat="1" ht="16.5" customHeight="1" x14ac:dyDescent="0.2">
      <c r="A2417" s="347"/>
      <c r="B2417" s="348"/>
      <c r="C2417" s="348"/>
      <c r="D2417" s="348"/>
      <c r="E2417" s="348"/>
      <c r="F2417" s="348"/>
      <c r="G2417" s="348"/>
      <c r="H2417" s="348"/>
      <c r="I2417" s="315"/>
    </row>
    <row r="2418" spans="1:11" s="17" customFormat="1" ht="16.5" customHeight="1" x14ac:dyDescent="0.2">
      <c r="A2418" s="347"/>
      <c r="B2418" s="348"/>
      <c r="C2418" s="348"/>
      <c r="D2418" s="348"/>
      <c r="E2418" s="348"/>
      <c r="F2418" s="348"/>
      <c r="G2418" s="348"/>
      <c r="H2418" s="348"/>
      <c r="I2418" s="312"/>
    </row>
    <row r="2419" spans="1:11" s="17" customFormat="1" ht="16.5" customHeight="1" x14ac:dyDescent="0.2">
      <c r="A2419" s="347"/>
      <c r="B2419" s="348"/>
      <c r="C2419" s="348"/>
      <c r="D2419" s="348"/>
      <c r="E2419" s="348"/>
      <c r="F2419" s="348"/>
      <c r="G2419" s="348"/>
      <c r="H2419" s="348"/>
      <c r="I2419" s="312"/>
    </row>
    <row r="2420" spans="1:11" s="17" customFormat="1" ht="16.5" customHeight="1" x14ac:dyDescent="0.2">
      <c r="A2420" s="347"/>
      <c r="B2420" s="348"/>
      <c r="C2420" s="348"/>
      <c r="D2420" s="348"/>
      <c r="E2420" s="348"/>
      <c r="F2420" s="348"/>
      <c r="G2420" s="348"/>
      <c r="H2420" s="348"/>
      <c r="I2420" s="312"/>
    </row>
    <row r="2421" spans="1:11" s="17" customFormat="1" ht="16.5" customHeight="1" x14ac:dyDescent="0.25">
      <c r="A2421" s="347"/>
      <c r="B2421" s="348"/>
      <c r="C2421" s="348"/>
      <c r="D2421" s="348"/>
      <c r="E2421" s="348"/>
      <c r="F2421" s="348"/>
      <c r="G2421" s="348"/>
      <c r="H2421" s="348"/>
      <c r="I2421" s="312"/>
      <c r="K2421"/>
    </row>
    <row r="2422" spans="1:11" s="17" customFormat="1" ht="16.5" customHeight="1" x14ac:dyDescent="0.25">
      <c r="A2422" s="347"/>
      <c r="B2422" s="348"/>
      <c r="C2422" s="348"/>
      <c r="D2422" s="348"/>
      <c r="E2422" s="348"/>
      <c r="F2422" s="348"/>
      <c r="G2422" s="348"/>
      <c r="H2422" s="348"/>
      <c r="I2422" s="312"/>
      <c r="K2422"/>
    </row>
    <row r="2423" spans="1:11" s="17" customFormat="1" ht="16.5" customHeight="1" x14ac:dyDescent="0.25">
      <c r="A2423" s="347"/>
      <c r="B2423" s="348"/>
      <c r="C2423" s="348"/>
      <c r="D2423" s="348"/>
      <c r="E2423" s="348"/>
      <c r="F2423" s="348"/>
      <c r="G2423" s="348"/>
      <c r="H2423" s="348"/>
      <c r="I2423" s="312"/>
      <c r="K2423"/>
    </row>
    <row r="2424" spans="1:11" s="17" customFormat="1" ht="16.5" customHeight="1" x14ac:dyDescent="0.25">
      <c r="A2424" s="347"/>
      <c r="B2424" s="348"/>
      <c r="C2424" s="348"/>
      <c r="D2424" s="348"/>
      <c r="E2424" s="348"/>
      <c r="F2424" s="348"/>
      <c r="G2424" s="348"/>
      <c r="H2424" s="348"/>
      <c r="I2424" s="312"/>
      <c r="K2424"/>
    </row>
    <row r="2425" spans="1:11" s="17" customFormat="1" ht="16.5" customHeight="1" x14ac:dyDescent="0.25">
      <c r="A2425" s="347"/>
      <c r="B2425" s="348"/>
      <c r="C2425" s="348"/>
      <c r="D2425" s="348"/>
      <c r="E2425" s="348"/>
      <c r="F2425" s="348"/>
      <c r="G2425" s="348"/>
      <c r="H2425" s="348"/>
      <c r="I2425" s="312"/>
      <c r="K2425"/>
    </row>
    <row r="2426" spans="1:11" s="17" customFormat="1" ht="16.5" customHeight="1" x14ac:dyDescent="0.25">
      <c r="A2426" s="347"/>
      <c r="B2426" s="348"/>
      <c r="C2426" s="348"/>
      <c r="D2426" s="348"/>
      <c r="E2426" s="348"/>
      <c r="F2426" s="348"/>
      <c r="G2426" s="348"/>
      <c r="H2426" s="348"/>
      <c r="I2426" s="312"/>
      <c r="K2426"/>
    </row>
    <row r="2427" spans="1:11" s="17" customFormat="1" ht="16.5" customHeight="1" x14ac:dyDescent="0.25">
      <c r="A2427" s="347"/>
      <c r="B2427" s="348"/>
      <c r="C2427" s="348"/>
      <c r="D2427" s="348"/>
      <c r="E2427" s="348"/>
      <c r="F2427" s="348"/>
      <c r="G2427" s="348"/>
      <c r="H2427" s="348"/>
      <c r="I2427" s="312"/>
      <c r="K2427"/>
    </row>
    <row r="2428" spans="1:11" s="17" customFormat="1" ht="16.5" customHeight="1" x14ac:dyDescent="0.25">
      <c r="A2428" s="347"/>
      <c r="B2428" s="348"/>
      <c r="C2428" s="348"/>
      <c r="D2428" s="348"/>
      <c r="E2428" s="348"/>
      <c r="F2428" s="348"/>
      <c r="G2428" s="348"/>
      <c r="H2428" s="348"/>
      <c r="I2428" s="312"/>
      <c r="K2428"/>
    </row>
    <row r="2429" spans="1:11" s="17" customFormat="1" ht="16.5" customHeight="1" x14ac:dyDescent="0.25">
      <c r="A2429" s="347"/>
      <c r="B2429" s="348"/>
      <c r="C2429" s="348"/>
      <c r="D2429" s="348"/>
      <c r="E2429" s="348"/>
      <c r="F2429" s="348"/>
      <c r="G2429" s="348"/>
      <c r="H2429" s="348"/>
      <c r="I2429" s="312"/>
      <c r="K2429"/>
    </row>
    <row r="2430" spans="1:11" s="17" customFormat="1" ht="16.5" customHeight="1" x14ac:dyDescent="0.25">
      <c r="A2430" s="347"/>
      <c r="B2430" s="348"/>
      <c r="C2430" s="348"/>
      <c r="D2430" s="348"/>
      <c r="E2430" s="348"/>
      <c r="F2430" s="348"/>
      <c r="G2430" s="348"/>
      <c r="H2430" s="348"/>
      <c r="I2430" s="312"/>
      <c r="K2430"/>
    </row>
    <row r="2431" spans="1:11" s="17" customFormat="1" ht="16.5" customHeight="1" x14ac:dyDescent="0.25">
      <c r="A2431" s="347"/>
      <c r="B2431" s="348"/>
      <c r="C2431" s="348"/>
      <c r="D2431" s="348"/>
      <c r="E2431" s="348"/>
      <c r="F2431" s="348"/>
      <c r="G2431" s="348"/>
      <c r="H2431" s="348"/>
      <c r="I2431" s="312"/>
      <c r="K2431"/>
    </row>
    <row r="2432" spans="1:11" s="17" customFormat="1" ht="16.5" customHeight="1" x14ac:dyDescent="0.25">
      <c r="A2432" s="347"/>
      <c r="B2432" s="348"/>
      <c r="C2432" s="348"/>
      <c r="D2432" s="348"/>
      <c r="E2432" s="348"/>
      <c r="F2432" s="348"/>
      <c r="G2432" s="348"/>
      <c r="H2432" s="348"/>
      <c r="I2432" s="312"/>
      <c r="K2432"/>
    </row>
    <row r="2433" spans="1:14" s="17" customFormat="1" ht="16.5" customHeight="1" x14ac:dyDescent="0.25">
      <c r="A2433" s="347"/>
      <c r="B2433" s="348"/>
      <c r="C2433" s="348"/>
      <c r="D2433" s="348"/>
      <c r="E2433" s="348"/>
      <c r="F2433" s="348"/>
      <c r="G2433" s="348"/>
      <c r="H2433" s="348"/>
      <c r="I2433" s="312"/>
      <c r="K2433"/>
    </row>
    <row r="2434" spans="1:14" s="17" customFormat="1" ht="16.5" customHeight="1" x14ac:dyDescent="0.25">
      <c r="A2434" s="347"/>
      <c r="B2434" s="348"/>
      <c r="C2434" s="348"/>
      <c r="D2434" s="348"/>
      <c r="E2434" s="348"/>
      <c r="F2434" s="348"/>
      <c r="G2434" s="348"/>
      <c r="H2434" s="348"/>
      <c r="I2434" s="312"/>
      <c r="K2434"/>
    </row>
    <row r="2435" spans="1:14" s="17" customFormat="1" ht="16.5" customHeight="1" x14ac:dyDescent="0.25">
      <c r="A2435" s="347"/>
      <c r="B2435" s="348"/>
      <c r="C2435" s="348"/>
      <c r="D2435" s="348"/>
      <c r="E2435" s="348"/>
      <c r="F2435" s="348"/>
      <c r="G2435" s="348"/>
      <c r="H2435" s="348"/>
      <c r="I2435" s="312"/>
      <c r="K2435"/>
    </row>
    <row r="2436" spans="1:14" s="17" customFormat="1" ht="16.5" customHeight="1" x14ac:dyDescent="0.25">
      <c r="A2436" s="347"/>
      <c r="B2436" s="348"/>
      <c r="C2436" s="348"/>
      <c r="D2436" s="348"/>
      <c r="E2436" s="348"/>
      <c r="F2436" s="348"/>
      <c r="G2436" s="348"/>
      <c r="H2436" s="348"/>
      <c r="I2436" s="312"/>
      <c r="K2436"/>
    </row>
    <row r="2437" spans="1:14" s="17" customFormat="1" ht="16.5" customHeight="1" x14ac:dyDescent="0.25">
      <c r="A2437" s="347"/>
      <c r="B2437" s="348"/>
      <c r="C2437" s="348"/>
      <c r="D2437" s="348"/>
      <c r="E2437" s="348"/>
      <c r="F2437" s="348"/>
      <c r="G2437" s="348"/>
      <c r="H2437" s="348"/>
      <c r="I2437" s="312"/>
      <c r="K2437"/>
    </row>
    <row r="2438" spans="1:14" s="17" customFormat="1" ht="16.5" customHeight="1" x14ac:dyDescent="0.25">
      <c r="A2438" s="347"/>
      <c r="B2438" s="348"/>
      <c r="C2438" s="348"/>
      <c r="D2438" s="348"/>
      <c r="E2438" s="348"/>
      <c r="F2438" s="348"/>
      <c r="G2438" s="348"/>
      <c r="H2438" s="348"/>
      <c r="I2438" s="312"/>
      <c r="K2438"/>
    </row>
    <row r="2439" spans="1:14" s="17" customFormat="1" ht="16.5" customHeight="1" x14ac:dyDescent="0.25">
      <c r="A2439" s="347"/>
      <c r="B2439" s="348"/>
      <c r="C2439" s="348"/>
      <c r="D2439" s="348"/>
      <c r="E2439" s="348"/>
      <c r="F2439" s="348"/>
      <c r="G2439" s="348"/>
      <c r="H2439" s="348"/>
      <c r="I2439" s="312"/>
      <c r="K2439"/>
    </row>
    <row r="2440" spans="1:14" s="17" customFormat="1" ht="16.5" customHeight="1" x14ac:dyDescent="0.25">
      <c r="A2440" s="347"/>
      <c r="B2440" s="348"/>
      <c r="C2440" s="348"/>
      <c r="D2440" s="348"/>
      <c r="E2440" s="348"/>
      <c r="F2440" s="348"/>
      <c r="G2440" s="348"/>
      <c r="H2440" s="348"/>
      <c r="I2440" s="312"/>
      <c r="K2440"/>
    </row>
    <row r="2441" spans="1:14" s="17" customFormat="1" ht="16.5" customHeight="1" x14ac:dyDescent="0.25">
      <c r="A2441" s="347"/>
      <c r="B2441" s="348"/>
      <c r="C2441" s="348"/>
      <c r="D2441" s="348"/>
      <c r="E2441" s="348"/>
      <c r="F2441" s="348"/>
      <c r="G2441" s="348"/>
      <c r="H2441" s="348"/>
      <c r="I2441" s="312">
        <v>43</v>
      </c>
      <c r="K2441"/>
    </row>
    <row r="2442" spans="1:14" s="17" customFormat="1" ht="16.5" customHeight="1" x14ac:dyDescent="0.25">
      <c r="A2442" s="347"/>
      <c r="B2442" s="348"/>
      <c r="C2442" s="348"/>
      <c r="D2442" s="348"/>
      <c r="E2442" s="348"/>
      <c r="F2442" s="348"/>
      <c r="G2442" s="348"/>
      <c r="H2442" s="348"/>
      <c r="I2442" s="312"/>
      <c r="K2442"/>
    </row>
    <row r="2443" spans="1:14" s="17" customFormat="1" ht="16.5" customHeight="1" x14ac:dyDescent="0.25">
      <c r="A2443" s="279"/>
      <c r="B2443" s="635" t="s">
        <v>363</v>
      </c>
      <c r="C2443" s="635"/>
      <c r="D2443" s="635"/>
      <c r="E2443" s="635"/>
      <c r="F2443" s="329"/>
      <c r="G2443" s="20"/>
      <c r="H2443" s="297"/>
      <c r="I2443" s="280"/>
      <c r="K2443"/>
    </row>
    <row r="2444" spans="1:14" s="17" customFormat="1" ht="16.5" customHeight="1" x14ac:dyDescent="0.25">
      <c r="A2444" s="279"/>
      <c r="B2444" s="24"/>
      <c r="C2444" s="24"/>
      <c r="D2444" s="24"/>
      <c r="E2444" s="24"/>
      <c r="F2444" s="329"/>
      <c r="G2444" s="20"/>
      <c r="H2444" s="297"/>
      <c r="I2444" s="280"/>
      <c r="K2444"/>
      <c r="L2444"/>
      <c r="M2444"/>
      <c r="N2444"/>
    </row>
    <row r="2445" spans="1:14" s="17" customFormat="1" ht="16.5" customHeight="1" x14ac:dyDescent="0.25">
      <c r="A2445" s="764" t="s">
        <v>978</v>
      </c>
      <c r="B2445" s="764"/>
      <c r="C2445" s="764"/>
      <c r="D2445" s="764"/>
      <c r="E2445" s="764"/>
      <c r="F2445" s="764"/>
      <c r="G2445" s="764"/>
      <c r="H2445" s="764"/>
      <c r="I2445" s="764"/>
      <c r="K2445"/>
      <c r="L2445"/>
      <c r="M2445"/>
      <c r="N2445"/>
    </row>
    <row r="2446" spans="1:14" s="17" customFormat="1" ht="19.5" customHeight="1" x14ac:dyDescent="0.25">
      <c r="A2446" s="764" t="s">
        <v>979</v>
      </c>
      <c r="B2446" s="764"/>
      <c r="C2446" s="764"/>
      <c r="D2446" s="764"/>
      <c r="E2446" s="764"/>
      <c r="F2446" s="764"/>
      <c r="G2446" s="764"/>
      <c r="H2446" s="764"/>
      <c r="I2446" s="764"/>
      <c r="K2446"/>
      <c r="L2446"/>
      <c r="M2446"/>
      <c r="N2446"/>
    </row>
    <row r="2447" spans="1:14" s="17" customFormat="1" ht="15.75" customHeight="1" x14ac:dyDescent="0.25">
      <c r="A2447" s="145"/>
      <c r="B2447" s="145"/>
      <c r="C2447" s="145"/>
      <c r="D2447" s="145"/>
      <c r="E2447" s="605" t="s">
        <v>84</v>
      </c>
      <c r="F2447" s="145"/>
      <c r="G2447" s="145"/>
      <c r="H2447" s="145"/>
      <c r="I2447" s="145"/>
      <c r="K2447"/>
      <c r="L2447"/>
      <c r="M2447"/>
      <c r="N2447"/>
    </row>
    <row r="2448" spans="1:14" s="17" customFormat="1" ht="16.5" customHeight="1" x14ac:dyDescent="0.25">
      <c r="A2448" s="224"/>
      <c r="B2448" s="247"/>
      <c r="C2448" s="15"/>
      <c r="D2448" s="156"/>
      <c r="E2448" s="605"/>
      <c r="F2448" s="156"/>
      <c r="G2448" s="224"/>
      <c r="H2448" s="156"/>
      <c r="I2448" s="156"/>
      <c r="K2448"/>
      <c r="L2448"/>
      <c r="M2448"/>
      <c r="N2448"/>
    </row>
    <row r="2449" spans="1:15" s="17" customFormat="1" ht="16.5" customHeight="1" x14ac:dyDescent="0.25">
      <c r="A2449" s="192" t="s">
        <v>48</v>
      </c>
      <c r="B2449" s="615" t="s">
        <v>49</v>
      </c>
      <c r="C2449" s="616"/>
      <c r="D2449" s="411" t="s">
        <v>85</v>
      </c>
      <c r="E2449" s="409" t="s">
        <v>320</v>
      </c>
      <c r="F2449" s="42" t="s">
        <v>86</v>
      </c>
      <c r="G2449" s="619" t="s">
        <v>52</v>
      </c>
      <c r="H2449" s="620"/>
      <c r="I2449" s="613" t="s">
        <v>53</v>
      </c>
      <c r="K2449"/>
      <c r="L2449"/>
      <c r="M2449"/>
      <c r="N2449"/>
    </row>
    <row r="2450" spans="1:15" s="17" customFormat="1" ht="12" customHeight="1" x14ac:dyDescent="0.25">
      <c r="A2450" s="193" t="s">
        <v>87</v>
      </c>
      <c r="B2450" s="617"/>
      <c r="C2450" s="618"/>
      <c r="D2450" s="412" t="s">
        <v>537</v>
      </c>
      <c r="E2450" s="44" t="s">
        <v>571</v>
      </c>
      <c r="F2450" s="44" t="s">
        <v>571</v>
      </c>
      <c r="G2450" s="29" t="s">
        <v>55</v>
      </c>
      <c r="H2450" s="29" t="s">
        <v>56</v>
      </c>
      <c r="I2450" s="614"/>
      <c r="K2450"/>
      <c r="L2450"/>
      <c r="M2450"/>
      <c r="N2450"/>
    </row>
    <row r="2451" spans="1:15" s="17" customFormat="1" ht="15.75" customHeight="1" x14ac:dyDescent="0.25">
      <c r="A2451" s="164">
        <v>1</v>
      </c>
      <c r="B2451" s="717">
        <v>2</v>
      </c>
      <c r="C2451" s="718"/>
      <c r="D2451" s="163">
        <v>3</v>
      </c>
      <c r="E2451" s="147">
        <v>4</v>
      </c>
      <c r="F2451" s="147">
        <v>5</v>
      </c>
      <c r="G2451" s="147">
        <v>6</v>
      </c>
      <c r="H2451" s="147">
        <v>7</v>
      </c>
      <c r="I2451" s="164">
        <v>8</v>
      </c>
      <c r="K2451"/>
      <c r="L2451"/>
      <c r="M2451"/>
      <c r="N2451"/>
    </row>
    <row r="2452" spans="1:15" s="17" customFormat="1" ht="16.5" customHeight="1" x14ac:dyDescent="0.25">
      <c r="A2452" s="84">
        <v>50409</v>
      </c>
      <c r="B2452" s="654" t="s">
        <v>364</v>
      </c>
      <c r="C2452" s="655"/>
      <c r="D2452" s="6">
        <f>D336</f>
        <v>87139</v>
      </c>
      <c r="E2452" s="6">
        <f>E336</f>
        <v>50000</v>
      </c>
      <c r="F2452" s="6">
        <f>F336</f>
        <v>144381</v>
      </c>
      <c r="G2452" s="91">
        <f>F2452/D2452</f>
        <v>1.6569044859362627</v>
      </c>
      <c r="H2452" s="92">
        <f>F2452/E2452</f>
        <v>2.8876200000000001</v>
      </c>
      <c r="I2452" s="92">
        <f>F2452/F2454</f>
        <v>1</v>
      </c>
      <c r="K2452"/>
      <c r="L2452"/>
      <c r="M2452"/>
      <c r="N2452"/>
    </row>
    <row r="2453" spans="1:15" s="17" customFormat="1" ht="16.5" customHeight="1" x14ac:dyDescent="0.25">
      <c r="A2453" s="84">
        <v>56000</v>
      </c>
      <c r="B2453" s="654" t="s">
        <v>365</v>
      </c>
      <c r="C2453" s="655"/>
      <c r="D2453" s="6">
        <v>0</v>
      </c>
      <c r="E2453" s="6">
        <f>E337</f>
        <v>0</v>
      </c>
      <c r="F2453" s="6">
        <f>F337</f>
        <v>0</v>
      </c>
      <c r="G2453" s="91" t="e">
        <f>F2453/D2453</f>
        <v>#DIV/0!</v>
      </c>
      <c r="H2453" s="91" t="e">
        <f>F2453/E2453</f>
        <v>#DIV/0!</v>
      </c>
      <c r="I2453" s="91">
        <f>F2453/F2454</f>
        <v>0</v>
      </c>
      <c r="K2453"/>
      <c r="L2453"/>
      <c r="M2453"/>
      <c r="N2453"/>
    </row>
    <row r="2454" spans="1:15" s="17" customFormat="1" ht="15" customHeight="1" x14ac:dyDescent="0.25">
      <c r="A2454" s="168"/>
      <c r="B2454" s="625" t="s">
        <v>331</v>
      </c>
      <c r="C2454" s="626"/>
      <c r="D2454" s="508">
        <f>D2452+D2453</f>
        <v>87139</v>
      </c>
      <c r="E2454" s="508">
        <f>E2452+E2453</f>
        <v>50000</v>
      </c>
      <c r="F2454" s="508">
        <f>F2452+F2453</f>
        <v>144381</v>
      </c>
      <c r="G2454" s="170">
        <f>F2454/D2454</f>
        <v>1.6569044859362627</v>
      </c>
      <c r="H2454" s="155">
        <f>F2454/E2454</f>
        <v>2.8876200000000001</v>
      </c>
      <c r="I2454" s="155">
        <f>SUM(I2452:I2453)</f>
        <v>1</v>
      </c>
      <c r="K2454"/>
      <c r="L2454"/>
      <c r="M2454"/>
      <c r="N2454"/>
      <c r="O2454"/>
    </row>
    <row r="2455" spans="1:15" s="17" customFormat="1" ht="16.5" customHeight="1" x14ac:dyDescent="0.25">
      <c r="A2455" s="201"/>
      <c r="B2455" s="310"/>
      <c r="C2455" s="310"/>
      <c r="D2455" s="311"/>
      <c r="E2455" s="187"/>
      <c r="F2455" s="188"/>
      <c r="G2455" s="294"/>
      <c r="H2455" s="294"/>
      <c r="I2455" s="315"/>
      <c r="K2455"/>
      <c r="L2455"/>
      <c r="M2455"/>
      <c r="N2455"/>
      <c r="O2455"/>
    </row>
    <row r="2456" spans="1:15" s="17" customFormat="1" ht="16.5" customHeight="1" x14ac:dyDescent="0.25">
      <c r="A2456" s="756" t="s">
        <v>497</v>
      </c>
      <c r="B2456" s="756"/>
      <c r="C2456" s="756"/>
      <c r="D2456" s="756"/>
      <c r="E2456" s="756"/>
      <c r="F2456" s="756"/>
      <c r="G2456" s="756"/>
      <c r="H2456" s="756"/>
      <c r="I2456" s="756"/>
      <c r="K2456"/>
      <c r="L2456"/>
      <c r="M2456"/>
      <c r="N2456"/>
      <c r="O2456"/>
    </row>
    <row r="2457" spans="1:15" s="17" customFormat="1" ht="16.5" customHeight="1" x14ac:dyDescent="0.25">
      <c r="A2457" s="145"/>
      <c r="B2457" s="145"/>
      <c r="C2457" s="145"/>
      <c r="D2457" s="145"/>
      <c r="E2457" s="605" t="s">
        <v>84</v>
      </c>
      <c r="F2457" s="145"/>
      <c r="G2457" s="145"/>
      <c r="H2457" s="145"/>
      <c r="I2457" s="145"/>
      <c r="K2457" s="464"/>
      <c r="L2457"/>
      <c r="M2457"/>
      <c r="N2457"/>
      <c r="O2457"/>
    </row>
    <row r="2458" spans="1:15" s="17" customFormat="1" ht="15.75" customHeight="1" x14ac:dyDescent="0.25">
      <c r="A2458" s="224"/>
      <c r="B2458" s="247"/>
      <c r="C2458" s="15"/>
      <c r="D2458" s="156"/>
      <c r="E2458" s="605"/>
      <c r="F2458" s="156"/>
      <c r="G2458" s="224"/>
      <c r="H2458" s="156"/>
      <c r="I2458" s="156"/>
      <c r="K2458"/>
      <c r="L2458"/>
      <c r="M2458"/>
      <c r="N2458"/>
      <c r="O2458"/>
    </row>
    <row r="2459" spans="1:15" s="17" customFormat="1" ht="16.5" customHeight="1" x14ac:dyDescent="0.25">
      <c r="A2459" s="192" t="s">
        <v>48</v>
      </c>
      <c r="B2459" s="615" t="s">
        <v>49</v>
      </c>
      <c r="C2459" s="616"/>
      <c r="D2459" s="411" t="s">
        <v>85</v>
      </c>
      <c r="E2459" s="409" t="s">
        <v>152</v>
      </c>
      <c r="F2459" s="42" t="s">
        <v>86</v>
      </c>
      <c r="G2459" s="619" t="s">
        <v>52</v>
      </c>
      <c r="H2459" s="620"/>
      <c r="I2459" s="613" t="s">
        <v>53</v>
      </c>
      <c r="K2459"/>
      <c r="L2459"/>
      <c r="M2459"/>
      <c r="N2459"/>
      <c r="O2459"/>
    </row>
    <row r="2460" spans="1:15" s="17" customFormat="1" ht="15.75" customHeight="1" x14ac:dyDescent="0.25">
      <c r="A2460" s="193" t="s">
        <v>87</v>
      </c>
      <c r="B2460" s="617"/>
      <c r="C2460" s="618"/>
      <c r="D2460" s="412" t="s">
        <v>537</v>
      </c>
      <c r="E2460" s="44" t="s">
        <v>571</v>
      </c>
      <c r="F2460" s="44" t="s">
        <v>571</v>
      </c>
      <c r="G2460" s="29" t="s">
        <v>55</v>
      </c>
      <c r="H2460" s="29" t="s">
        <v>56</v>
      </c>
      <c r="I2460" s="614"/>
      <c r="K2460"/>
      <c r="L2460"/>
      <c r="M2460"/>
      <c r="N2460"/>
      <c r="O2460"/>
    </row>
    <row r="2461" spans="1:15" s="17" customFormat="1" ht="15.75" customHeight="1" x14ac:dyDescent="0.25">
      <c r="A2461" s="164">
        <v>1</v>
      </c>
      <c r="B2461" s="717">
        <v>2</v>
      </c>
      <c r="C2461" s="718"/>
      <c r="D2461" s="163">
        <v>3</v>
      </c>
      <c r="E2461" s="147">
        <v>4</v>
      </c>
      <c r="F2461" s="147">
        <v>5</v>
      </c>
      <c r="G2461" s="147">
        <v>6</v>
      </c>
      <c r="H2461" s="147">
        <v>7</v>
      </c>
      <c r="I2461" s="164">
        <v>8</v>
      </c>
      <c r="K2461"/>
      <c r="L2461"/>
      <c r="M2461"/>
      <c r="N2461"/>
      <c r="O2461"/>
    </row>
    <row r="2462" spans="1:15" s="17" customFormat="1" ht="16.5" customHeight="1" x14ac:dyDescent="0.25">
      <c r="A2462" s="86">
        <v>111</v>
      </c>
      <c r="B2462" s="601" t="s">
        <v>184</v>
      </c>
      <c r="C2462" s="602"/>
      <c r="D2462" s="6">
        <f>D643</f>
        <v>471417.5</v>
      </c>
      <c r="E2462" s="6">
        <f>E643</f>
        <v>516886.17</v>
      </c>
      <c r="F2462" s="6">
        <f>F643</f>
        <v>514296.45</v>
      </c>
      <c r="G2462" s="91">
        <f t="shared" ref="G2462:G2467" si="151">F2462/D2462</f>
        <v>1.0909574846075931</v>
      </c>
      <c r="H2462" s="92">
        <f t="shared" ref="H2462:H2467" si="152">F2462/E2462</f>
        <v>0.9949897672828043</v>
      </c>
      <c r="I2462" s="92">
        <f>F2462/F2467</f>
        <v>0.79856303312078181</v>
      </c>
      <c r="K2462"/>
      <c r="L2462"/>
      <c r="M2462"/>
      <c r="N2462"/>
      <c r="O2462"/>
    </row>
    <row r="2463" spans="1:15" s="17" customFormat="1" ht="16.5" customHeight="1" x14ac:dyDescent="0.25">
      <c r="A2463" s="86">
        <v>130</v>
      </c>
      <c r="B2463" s="601" t="s">
        <v>185</v>
      </c>
      <c r="C2463" s="602"/>
      <c r="D2463" s="110">
        <f>D869</f>
        <v>114752.82</v>
      </c>
      <c r="E2463" s="110">
        <f>E869</f>
        <v>130236.32</v>
      </c>
      <c r="F2463" s="110">
        <f>F869</f>
        <v>129730.92</v>
      </c>
      <c r="G2463" s="91">
        <f t="shared" si="151"/>
        <v>1.1305248969044943</v>
      </c>
      <c r="H2463" s="92">
        <f t="shared" si="152"/>
        <v>0.99611936209499774</v>
      </c>
      <c r="I2463" s="92">
        <f>F2463/F2467</f>
        <v>0.20143696687921819</v>
      </c>
      <c r="K2463"/>
      <c r="L2463"/>
      <c r="M2463"/>
      <c r="N2463"/>
      <c r="O2463"/>
    </row>
    <row r="2464" spans="1:15" s="17" customFormat="1" ht="15" customHeight="1" x14ac:dyDescent="0.25">
      <c r="A2464" s="86">
        <v>132</v>
      </c>
      <c r="B2464" s="601" t="s">
        <v>186</v>
      </c>
      <c r="C2464" s="602"/>
      <c r="D2464" s="6">
        <f>D976</f>
        <v>0</v>
      </c>
      <c r="E2464" s="6">
        <f>E976</f>
        <v>0</v>
      </c>
      <c r="F2464" s="6">
        <f>F976</f>
        <v>0</v>
      </c>
      <c r="G2464" s="91" t="e">
        <f t="shared" si="151"/>
        <v>#DIV/0!</v>
      </c>
      <c r="H2464" s="92" t="e">
        <f t="shared" si="152"/>
        <v>#DIV/0!</v>
      </c>
      <c r="I2464" s="92">
        <f>F2464/F2467</f>
        <v>0</v>
      </c>
      <c r="K2464"/>
      <c r="L2464" s="464"/>
      <c r="M2464"/>
      <c r="N2464"/>
      <c r="O2464"/>
    </row>
    <row r="2465" spans="1:15" s="17" customFormat="1" ht="16.5" customHeight="1" x14ac:dyDescent="0.25">
      <c r="A2465" s="86">
        <v>200</v>
      </c>
      <c r="B2465" s="601" t="s">
        <v>187</v>
      </c>
      <c r="C2465" s="602"/>
      <c r="D2465" s="6">
        <f>D1088</f>
        <v>0</v>
      </c>
      <c r="E2465" s="6">
        <f>E1088</f>
        <v>0</v>
      </c>
      <c r="F2465" s="6">
        <f>F1088</f>
        <v>0</v>
      </c>
      <c r="G2465" s="91" t="e">
        <f t="shared" si="151"/>
        <v>#DIV/0!</v>
      </c>
      <c r="H2465" s="92" t="e">
        <f t="shared" si="152"/>
        <v>#DIV/0!</v>
      </c>
      <c r="I2465" s="92">
        <f>F2465/F2467</f>
        <v>0</v>
      </c>
      <c r="K2465"/>
      <c r="L2465"/>
      <c r="M2465"/>
      <c r="N2465"/>
      <c r="O2465"/>
    </row>
    <row r="2466" spans="1:15" s="17" customFormat="1" ht="16.5" customHeight="1" x14ac:dyDescent="0.25">
      <c r="A2466" s="86">
        <v>300</v>
      </c>
      <c r="B2466" s="601" t="s">
        <v>188</v>
      </c>
      <c r="C2466" s="602"/>
      <c r="D2466" s="6">
        <f>D1198</f>
        <v>0</v>
      </c>
      <c r="E2466" s="6">
        <f>E1198</f>
        <v>0</v>
      </c>
      <c r="F2466" s="6">
        <f>F1198</f>
        <v>0</v>
      </c>
      <c r="G2466" s="91" t="e">
        <f t="shared" si="151"/>
        <v>#DIV/0!</v>
      </c>
      <c r="H2466" s="92" t="e">
        <f t="shared" si="152"/>
        <v>#DIV/0!</v>
      </c>
      <c r="I2466" s="92">
        <f>F2466/F2467</f>
        <v>0</v>
      </c>
      <c r="K2466"/>
      <c r="L2466"/>
      <c r="M2466"/>
      <c r="N2466"/>
      <c r="O2466"/>
    </row>
    <row r="2467" spans="1:15" s="17" customFormat="1" ht="16.5" customHeight="1" x14ac:dyDescent="0.25">
      <c r="A2467" s="168"/>
      <c r="B2467" s="342" t="s">
        <v>83</v>
      </c>
      <c r="C2467" s="343"/>
      <c r="D2467" s="508">
        <f>D2462+D2463+D2464+D2465+D2466</f>
        <v>586170.32000000007</v>
      </c>
      <c r="E2467" s="508">
        <f t="shared" ref="E2467" si="153">E2462+E2463+E2464+E2465+E2466</f>
        <v>647122.49</v>
      </c>
      <c r="F2467" s="508">
        <f>F2462+F2463+F2464+F2465+F2466</f>
        <v>644027.37</v>
      </c>
      <c r="G2467" s="200">
        <f t="shared" si="151"/>
        <v>1.0987034792208517</v>
      </c>
      <c r="H2467" s="155">
        <f t="shared" si="152"/>
        <v>0.99521710333386804</v>
      </c>
      <c r="I2467" s="206">
        <f>I2462+I2463+I2464+I2465+I2466</f>
        <v>1</v>
      </c>
      <c r="K2467"/>
      <c r="L2467"/>
      <c r="M2467"/>
      <c r="N2467"/>
      <c r="O2467"/>
    </row>
    <row r="2468" spans="1:15" s="17" customFormat="1" ht="16.5" customHeight="1" x14ac:dyDescent="0.25">
      <c r="A2468" s="434"/>
      <c r="B2468" s="435"/>
      <c r="C2468" s="435"/>
      <c r="D2468" s="436"/>
      <c r="E2468" s="436"/>
      <c r="F2468" s="436"/>
      <c r="G2468" s="437"/>
      <c r="H2468" s="438"/>
      <c r="I2468" s="439"/>
      <c r="K2468"/>
      <c r="L2468"/>
      <c r="M2468"/>
      <c r="N2468"/>
      <c r="O2468"/>
    </row>
    <row r="2469" spans="1:15" s="17" customFormat="1" ht="16.5" customHeight="1" x14ac:dyDescent="0.25">
      <c r="A2469" s="314"/>
      <c r="B2469" s="314"/>
      <c r="C2469" s="314"/>
      <c r="D2469" s="314"/>
      <c r="E2469" s="314"/>
      <c r="F2469" s="314"/>
      <c r="G2469" s="156"/>
      <c r="H2469" s="20"/>
      <c r="I2469" s="312"/>
      <c r="K2469"/>
      <c r="L2469"/>
      <c r="M2469"/>
      <c r="N2469"/>
      <c r="O2469"/>
    </row>
    <row r="2470" spans="1:15" s="17" customFormat="1" ht="16.5" customHeight="1" x14ac:dyDescent="0.25">
      <c r="A2470" s="336"/>
      <c r="B2470" s="627" t="s">
        <v>980</v>
      </c>
      <c r="C2470" s="627"/>
      <c r="D2470" s="627"/>
      <c r="E2470" s="627"/>
      <c r="F2470" s="627"/>
      <c r="G2470" s="627"/>
      <c r="H2470" s="627"/>
      <c r="I2470" s="627"/>
      <c r="K2470"/>
      <c r="L2470"/>
      <c r="M2470"/>
      <c r="N2470"/>
      <c r="O2470"/>
    </row>
    <row r="2471" spans="1:15" s="17" customFormat="1" ht="16.5" customHeight="1" x14ac:dyDescent="0.25">
      <c r="A2471" s="627" t="s">
        <v>981</v>
      </c>
      <c r="B2471" s="627"/>
      <c r="C2471" s="627"/>
      <c r="D2471" s="627"/>
      <c r="E2471" s="627"/>
      <c r="F2471" s="627"/>
      <c r="G2471" s="627"/>
      <c r="H2471" s="627"/>
      <c r="I2471" s="627"/>
      <c r="K2471"/>
      <c r="L2471"/>
      <c r="M2471"/>
      <c r="N2471"/>
      <c r="O2471"/>
    </row>
    <row r="2472" spans="1:15" s="17" customFormat="1" ht="15.75" customHeight="1" x14ac:dyDescent="0.25">
      <c r="A2472" s="622" t="s">
        <v>982</v>
      </c>
      <c r="B2472" s="622"/>
      <c r="C2472" s="622"/>
      <c r="D2472" s="622"/>
      <c r="E2472" s="622"/>
      <c r="F2472" s="622"/>
      <c r="G2472" s="622"/>
      <c r="H2472" s="622"/>
      <c r="I2472" s="622"/>
      <c r="K2472"/>
      <c r="L2472"/>
      <c r="M2472"/>
      <c r="N2472"/>
      <c r="O2472"/>
    </row>
    <row r="2473" spans="1:15" s="17" customFormat="1" ht="16.5" customHeight="1" x14ac:dyDescent="0.25">
      <c r="A2473" s="621" t="s">
        <v>983</v>
      </c>
      <c r="B2473" s="621"/>
      <c r="C2473" s="621"/>
      <c r="D2473" s="621"/>
      <c r="E2473" s="621"/>
      <c r="F2473" s="621"/>
      <c r="G2473" s="621"/>
      <c r="H2473" s="621"/>
      <c r="I2473" s="621"/>
      <c r="K2473"/>
      <c r="L2473"/>
      <c r="M2473"/>
      <c r="N2473"/>
      <c r="O2473"/>
    </row>
    <row r="2474" spans="1:15" s="17" customFormat="1" ht="16.5" customHeight="1" x14ac:dyDescent="0.25">
      <c r="A2474" s="621" t="s">
        <v>984</v>
      </c>
      <c r="B2474" s="621"/>
      <c r="C2474" s="621"/>
      <c r="D2474" s="621"/>
      <c r="E2474" s="621"/>
      <c r="F2474" s="621"/>
      <c r="G2474" s="621"/>
      <c r="H2474" s="621"/>
      <c r="I2474" s="621"/>
      <c r="K2474"/>
      <c r="L2474"/>
      <c r="M2474"/>
      <c r="N2474"/>
      <c r="O2474"/>
    </row>
    <row r="2475" spans="1:15" s="17" customFormat="1" ht="16.5" customHeight="1" x14ac:dyDescent="0.25">
      <c r="A2475" s="621" t="s">
        <v>985</v>
      </c>
      <c r="B2475" s="621"/>
      <c r="C2475" s="621"/>
      <c r="D2475" s="621"/>
      <c r="E2475" s="621"/>
      <c r="F2475" s="621"/>
      <c r="G2475" s="621"/>
      <c r="H2475" s="621"/>
      <c r="I2475" s="621"/>
      <c r="K2475"/>
      <c r="L2475"/>
      <c r="M2475"/>
      <c r="N2475"/>
      <c r="O2475"/>
    </row>
    <row r="2476" spans="1:15" s="17" customFormat="1" ht="16.5" customHeight="1" x14ac:dyDescent="0.25">
      <c r="A2476" s="621" t="s">
        <v>986</v>
      </c>
      <c r="B2476" s="621"/>
      <c r="C2476" s="621"/>
      <c r="D2476" s="621"/>
      <c r="E2476" s="621"/>
      <c r="F2476" s="621"/>
      <c r="G2476" s="621"/>
      <c r="H2476" s="621"/>
      <c r="I2476" s="621"/>
      <c r="K2476"/>
      <c r="L2476"/>
      <c r="M2476"/>
      <c r="N2476"/>
      <c r="O2476"/>
    </row>
    <row r="2477" spans="1:15" s="17" customFormat="1" ht="16.5" customHeight="1" x14ac:dyDescent="0.25">
      <c r="A2477" s="603" t="s">
        <v>987</v>
      </c>
      <c r="B2477" s="603"/>
      <c r="C2477" s="603"/>
      <c r="D2477" s="603"/>
      <c r="E2477" s="603"/>
      <c r="F2477" s="603"/>
      <c r="G2477" s="603"/>
      <c r="H2477" s="603"/>
      <c r="I2477" s="603"/>
      <c r="K2477"/>
      <c r="L2477"/>
      <c r="M2477"/>
      <c r="N2477"/>
      <c r="O2477"/>
    </row>
    <row r="2478" spans="1:15" s="17" customFormat="1" ht="16.5" customHeight="1" x14ac:dyDescent="0.25">
      <c r="A2478" s="21"/>
      <c r="B2478" s="21"/>
      <c r="C2478" s="21"/>
      <c r="D2478" s="21"/>
      <c r="E2478" s="21"/>
      <c r="F2478" s="21"/>
      <c r="G2478" s="21"/>
      <c r="H2478" s="21"/>
      <c r="I2478" s="21"/>
      <c r="K2478"/>
      <c r="L2478"/>
      <c r="M2478"/>
      <c r="N2478"/>
      <c r="O2478"/>
    </row>
    <row r="2479" spans="1:15" s="17" customFormat="1" ht="16.5" customHeight="1" x14ac:dyDescent="0.25">
      <c r="A2479" s="21"/>
      <c r="B2479" s="21"/>
      <c r="C2479" s="21"/>
      <c r="D2479" s="21"/>
      <c r="E2479" s="21"/>
      <c r="F2479" s="21"/>
      <c r="G2479" s="21"/>
      <c r="H2479" s="21"/>
      <c r="I2479" s="21"/>
      <c r="K2479"/>
      <c r="L2479"/>
      <c r="M2479"/>
      <c r="N2479"/>
      <c r="O2479"/>
    </row>
    <row r="2480" spans="1:15" s="17" customFormat="1" ht="16.5" customHeight="1" x14ac:dyDescent="0.25">
      <c r="A2480" s="21"/>
      <c r="B2480" s="21"/>
      <c r="C2480" s="21"/>
      <c r="D2480" s="21"/>
      <c r="E2480" s="21"/>
      <c r="F2480" s="21"/>
      <c r="G2480" s="21"/>
      <c r="H2480" s="21"/>
      <c r="I2480" s="21"/>
      <c r="K2480"/>
      <c r="L2480"/>
      <c r="M2480"/>
      <c r="N2480"/>
      <c r="O2480"/>
    </row>
    <row r="2481" spans="1:15" s="17" customFormat="1" ht="16.5" customHeight="1" x14ac:dyDescent="0.25">
      <c r="A2481" s="21"/>
      <c r="B2481" s="21"/>
      <c r="C2481" s="21"/>
      <c r="D2481" s="21"/>
      <c r="E2481" s="21"/>
      <c r="F2481" s="21"/>
      <c r="G2481" s="21"/>
      <c r="H2481" s="21"/>
      <c r="I2481" s="21"/>
      <c r="K2481"/>
      <c r="L2481"/>
      <c r="M2481"/>
      <c r="N2481"/>
      <c r="O2481"/>
    </row>
    <row r="2482" spans="1:15" s="17" customFormat="1" ht="16.5" customHeight="1" x14ac:dyDescent="0.25">
      <c r="A2482" s="21"/>
      <c r="B2482" s="21"/>
      <c r="C2482" s="21"/>
      <c r="D2482" s="21"/>
      <c r="E2482" s="21"/>
      <c r="F2482" s="21"/>
      <c r="G2482" s="21"/>
      <c r="H2482" s="21"/>
      <c r="I2482" s="21"/>
      <c r="K2482"/>
      <c r="L2482"/>
      <c r="M2482"/>
      <c r="N2482"/>
      <c r="O2482"/>
    </row>
    <row r="2483" spans="1:15" s="17" customFormat="1" ht="16.5" customHeight="1" x14ac:dyDescent="0.25">
      <c r="A2483" s="21"/>
      <c r="B2483" s="21"/>
      <c r="C2483" s="21"/>
      <c r="D2483" s="21"/>
      <c r="E2483" s="21"/>
      <c r="F2483" s="21"/>
      <c r="G2483" s="21"/>
      <c r="H2483" s="21"/>
      <c r="I2483" s="21"/>
      <c r="K2483"/>
      <c r="L2483"/>
      <c r="M2483"/>
      <c r="N2483"/>
      <c r="O2483"/>
    </row>
    <row r="2484" spans="1:15" s="17" customFormat="1" ht="16.5" customHeight="1" x14ac:dyDescent="0.25">
      <c r="A2484" s="21"/>
      <c r="B2484" s="21"/>
      <c r="C2484" s="21"/>
      <c r="D2484" s="21"/>
      <c r="E2484" s="21"/>
      <c r="F2484" s="21"/>
      <c r="G2484" s="21"/>
      <c r="H2484" s="21"/>
      <c r="I2484" s="21"/>
      <c r="K2484"/>
      <c r="L2484"/>
      <c r="M2484"/>
      <c r="N2484"/>
      <c r="O2484"/>
    </row>
    <row r="2485" spans="1:15" s="17" customFormat="1" ht="16.5" customHeight="1" x14ac:dyDescent="0.25">
      <c r="A2485" s="21"/>
      <c r="B2485" s="21"/>
      <c r="C2485" s="21"/>
      <c r="D2485" s="21"/>
      <c r="E2485" s="21"/>
      <c r="F2485" s="21"/>
      <c r="G2485" s="21"/>
      <c r="H2485" s="21"/>
      <c r="I2485" s="21"/>
      <c r="K2485"/>
      <c r="L2485"/>
      <c r="M2485"/>
      <c r="N2485"/>
      <c r="O2485"/>
    </row>
    <row r="2486" spans="1:15" s="17" customFormat="1" ht="16.5" customHeight="1" x14ac:dyDescent="0.25">
      <c r="A2486" s="21"/>
      <c r="B2486" s="21"/>
      <c r="C2486" s="21"/>
      <c r="D2486" s="21"/>
      <c r="E2486" s="21"/>
      <c r="F2486" s="21"/>
      <c r="G2486" s="21"/>
      <c r="H2486" s="21"/>
      <c r="I2486" s="21"/>
      <c r="K2486"/>
      <c r="L2486"/>
      <c r="M2486"/>
      <c r="N2486"/>
      <c r="O2486"/>
    </row>
    <row r="2487" spans="1:15" s="17" customFormat="1" ht="16.5" customHeight="1" x14ac:dyDescent="0.25">
      <c r="A2487" s="21"/>
      <c r="B2487" s="21"/>
      <c r="C2487" s="21"/>
      <c r="D2487" s="21"/>
      <c r="E2487" s="21"/>
      <c r="F2487" s="21"/>
      <c r="G2487" s="21"/>
      <c r="H2487" s="21"/>
      <c r="I2487" s="21"/>
      <c r="K2487"/>
      <c r="L2487"/>
      <c r="M2487"/>
      <c r="N2487"/>
      <c r="O2487"/>
    </row>
    <row r="2488" spans="1:15" s="17" customFormat="1" ht="16.5" customHeight="1" x14ac:dyDescent="0.25">
      <c r="A2488" s="21"/>
      <c r="B2488" s="21"/>
      <c r="C2488" s="21"/>
      <c r="D2488" s="21"/>
      <c r="E2488" s="21"/>
      <c r="F2488" s="21"/>
      <c r="G2488" s="21"/>
      <c r="H2488" s="21"/>
      <c r="I2488" s="21"/>
      <c r="K2488"/>
      <c r="L2488"/>
      <c r="M2488"/>
      <c r="N2488"/>
      <c r="O2488"/>
    </row>
    <row r="2489" spans="1:15" s="17" customFormat="1" ht="16.5" customHeight="1" x14ac:dyDescent="0.25">
      <c r="A2489" s="21"/>
      <c r="B2489" s="21"/>
      <c r="C2489" s="21"/>
      <c r="D2489" s="21"/>
      <c r="E2489" s="21"/>
      <c r="F2489" s="21"/>
      <c r="G2489" s="21"/>
      <c r="H2489" s="21"/>
      <c r="I2489" s="21"/>
      <c r="K2489"/>
      <c r="L2489"/>
      <c r="M2489"/>
      <c r="N2489"/>
      <c r="O2489"/>
    </row>
    <row r="2490" spans="1:15" s="17" customFormat="1" ht="16.5" customHeight="1" x14ac:dyDescent="0.25">
      <c r="A2490" s="18"/>
      <c r="B2490" s="20"/>
      <c r="C2490" s="20"/>
      <c r="D2490" s="20"/>
      <c r="E2490" s="18"/>
      <c r="F2490" s="18"/>
      <c r="G2490" s="18"/>
      <c r="H2490" s="297"/>
      <c r="I2490" s="312"/>
      <c r="K2490"/>
      <c r="L2490"/>
      <c r="M2490"/>
      <c r="N2490"/>
      <c r="O2490"/>
    </row>
    <row r="2491" spans="1:15" s="17" customFormat="1" ht="16.5" customHeight="1" x14ac:dyDescent="0.25">
      <c r="A2491" s="18"/>
      <c r="B2491" s="20"/>
      <c r="C2491" s="20"/>
      <c r="D2491" s="20"/>
      <c r="E2491" s="18"/>
      <c r="F2491" s="18"/>
      <c r="G2491" s="18"/>
      <c r="H2491" s="297"/>
      <c r="I2491" s="312"/>
      <c r="K2491"/>
      <c r="L2491"/>
      <c r="M2491"/>
      <c r="N2491"/>
      <c r="O2491"/>
    </row>
    <row r="2492" spans="1:15" s="17" customFormat="1" ht="16.5" customHeight="1" x14ac:dyDescent="0.25">
      <c r="A2492" s="18"/>
      <c r="B2492" s="20"/>
      <c r="C2492" s="20"/>
      <c r="D2492" s="20"/>
      <c r="E2492" s="18"/>
      <c r="F2492" s="18"/>
      <c r="G2492" s="18"/>
      <c r="H2492" s="297"/>
      <c r="I2492" s="312"/>
      <c r="K2492"/>
      <c r="L2492"/>
      <c r="M2492"/>
      <c r="N2492"/>
      <c r="O2492"/>
    </row>
    <row r="2493" spans="1:15" s="17" customFormat="1" ht="16.5" customHeight="1" x14ac:dyDescent="0.25">
      <c r="A2493" s="18"/>
      <c r="B2493" s="20"/>
      <c r="C2493" s="20"/>
      <c r="D2493" s="20"/>
      <c r="E2493" s="18"/>
      <c r="F2493" s="18"/>
      <c r="G2493" s="18"/>
      <c r="H2493" s="297"/>
      <c r="I2493" s="312"/>
      <c r="K2493"/>
      <c r="L2493"/>
      <c r="M2493"/>
      <c r="N2493"/>
      <c r="O2493"/>
    </row>
    <row r="2494" spans="1:15" s="17" customFormat="1" ht="16.5" customHeight="1" x14ac:dyDescent="0.25">
      <c r="A2494" s="18"/>
      <c r="B2494" s="20"/>
      <c r="C2494" s="20"/>
      <c r="D2494" s="20"/>
      <c r="E2494" s="18"/>
      <c r="F2494" s="18"/>
      <c r="G2494" s="18"/>
      <c r="H2494" s="297"/>
      <c r="I2494" s="312"/>
      <c r="K2494"/>
      <c r="L2494"/>
      <c r="M2494"/>
      <c r="N2494"/>
      <c r="O2494"/>
    </row>
    <row r="2495" spans="1:15" s="17" customFormat="1" ht="16.5" customHeight="1" x14ac:dyDescent="0.25">
      <c r="A2495" s="18"/>
      <c r="B2495" s="20"/>
      <c r="C2495" s="20"/>
      <c r="D2495" s="20"/>
      <c r="E2495" s="18"/>
      <c r="F2495" s="18"/>
      <c r="G2495" s="18"/>
      <c r="H2495" s="297"/>
      <c r="I2495" s="312"/>
      <c r="K2495"/>
      <c r="L2495"/>
      <c r="M2495"/>
      <c r="N2495"/>
      <c r="O2495"/>
    </row>
    <row r="2496" spans="1:15" s="17" customFormat="1" ht="16.5" customHeight="1" x14ac:dyDescent="0.25">
      <c r="A2496" s="18"/>
      <c r="B2496" s="20"/>
      <c r="C2496" s="20"/>
      <c r="D2496" s="20"/>
      <c r="E2496" s="18"/>
      <c r="F2496" s="18"/>
      <c r="G2496" s="18"/>
      <c r="H2496" s="297"/>
      <c r="I2496" s="312"/>
      <c r="K2496"/>
      <c r="L2496"/>
      <c r="M2496"/>
      <c r="N2496"/>
      <c r="O2496"/>
    </row>
    <row r="2497" spans="1:15" s="17" customFormat="1" ht="16.5" customHeight="1" x14ac:dyDescent="0.25">
      <c r="A2497" s="18"/>
      <c r="B2497" s="20"/>
      <c r="C2497" s="20"/>
      <c r="D2497" s="20"/>
      <c r="E2497" s="18"/>
      <c r="F2497" s="18"/>
      <c r="G2497" s="18"/>
      <c r="H2497" s="297"/>
      <c r="I2497" s="312">
        <v>44</v>
      </c>
      <c r="K2497"/>
      <c r="L2497"/>
      <c r="M2497"/>
      <c r="N2497"/>
      <c r="O2497"/>
    </row>
    <row r="2498" spans="1:15" s="17" customFormat="1" ht="16.5" customHeight="1" x14ac:dyDescent="0.25">
      <c r="A2498" s="18"/>
      <c r="B2498" s="20"/>
      <c r="C2498" s="20"/>
      <c r="D2498" s="20"/>
      <c r="E2498" s="18"/>
      <c r="F2498" s="18"/>
      <c r="G2498" s="18"/>
      <c r="H2498" s="297"/>
      <c r="I2498" s="312"/>
      <c r="K2498"/>
      <c r="L2498"/>
      <c r="M2498"/>
      <c r="N2498"/>
      <c r="O2498"/>
    </row>
    <row r="2499" spans="1:15" s="17" customFormat="1" ht="16.5" customHeight="1" x14ac:dyDescent="0.25">
      <c r="A2499" s="18"/>
      <c r="B2499" s="20"/>
      <c r="C2499" s="20"/>
      <c r="D2499" s="20"/>
      <c r="E2499" s="18"/>
      <c r="F2499" s="18"/>
      <c r="G2499" s="18"/>
      <c r="H2499" s="297"/>
      <c r="I2499" s="312"/>
      <c r="K2499"/>
      <c r="L2499"/>
      <c r="M2499"/>
      <c r="N2499"/>
      <c r="O2499"/>
    </row>
    <row r="2500" spans="1:15" s="17" customFormat="1" ht="16.5" customHeight="1" x14ac:dyDescent="0.25">
      <c r="A2500" s="18"/>
      <c r="B2500" s="20"/>
      <c r="C2500" s="20"/>
      <c r="D2500" s="20"/>
      <c r="E2500" s="18"/>
      <c r="F2500" s="18"/>
      <c r="G2500" s="18"/>
      <c r="H2500" s="297"/>
      <c r="I2500" s="312"/>
      <c r="K2500"/>
      <c r="L2500"/>
      <c r="M2500"/>
      <c r="N2500"/>
      <c r="O2500"/>
    </row>
    <row r="2501" spans="1:15" s="17" customFormat="1" ht="16.5" customHeight="1" x14ac:dyDescent="0.25">
      <c r="A2501" s="279"/>
      <c r="B2501" s="635" t="s">
        <v>366</v>
      </c>
      <c r="C2501" s="635"/>
      <c r="D2501" s="279"/>
      <c r="E2501" s="279"/>
      <c r="F2501" s="279"/>
      <c r="G2501" s="20"/>
      <c r="H2501" s="297"/>
      <c r="I2501" s="280"/>
      <c r="K2501"/>
      <c r="L2501"/>
      <c r="M2501"/>
      <c r="N2501"/>
      <c r="O2501"/>
    </row>
    <row r="2502" spans="1:15" s="17" customFormat="1" ht="16.5" customHeight="1" x14ac:dyDescent="0.25">
      <c r="A2502" s="279"/>
      <c r="B2502" s="20"/>
      <c r="C2502" s="279"/>
      <c r="D2502" s="279"/>
      <c r="E2502" s="279"/>
      <c r="F2502" s="279"/>
      <c r="G2502" s="20"/>
      <c r="H2502" s="297"/>
      <c r="I2502" s="280"/>
      <c r="K2502"/>
      <c r="L2502"/>
      <c r="M2502"/>
      <c r="N2502"/>
      <c r="O2502"/>
    </row>
    <row r="2503" spans="1:15" s="17" customFormat="1" ht="16.5" customHeight="1" x14ac:dyDescent="0.25">
      <c r="A2503" s="764" t="s">
        <v>988</v>
      </c>
      <c r="B2503" s="764"/>
      <c r="C2503" s="764"/>
      <c r="D2503" s="764"/>
      <c r="E2503" s="764"/>
      <c r="F2503" s="764"/>
      <c r="G2503" s="764"/>
      <c r="H2503" s="764"/>
      <c r="I2503" s="764"/>
      <c r="K2503"/>
      <c r="L2503"/>
      <c r="M2503"/>
      <c r="N2503"/>
      <c r="O2503"/>
    </row>
    <row r="2504" spans="1:15" s="17" customFormat="1" ht="16.5" customHeight="1" x14ac:dyDescent="0.25">
      <c r="A2504" s="145"/>
      <c r="B2504" s="145"/>
      <c r="C2504" s="145"/>
      <c r="D2504" s="145"/>
      <c r="E2504" s="605" t="s">
        <v>84</v>
      </c>
      <c r="F2504" s="145"/>
      <c r="G2504" s="145"/>
      <c r="H2504" s="145"/>
      <c r="I2504" s="145"/>
      <c r="K2504"/>
      <c r="L2504"/>
      <c r="M2504"/>
      <c r="N2504"/>
      <c r="O2504"/>
    </row>
    <row r="2505" spans="1:15" s="17" customFormat="1" ht="12" customHeight="1" x14ac:dyDescent="0.25">
      <c r="A2505" s="224"/>
      <c r="B2505" s="247"/>
      <c r="C2505" s="15"/>
      <c r="D2505" s="156"/>
      <c r="E2505" s="605"/>
      <c r="F2505" s="156"/>
      <c r="G2505" s="224"/>
      <c r="H2505" s="156"/>
      <c r="I2505" s="156"/>
      <c r="K2505"/>
      <c r="L2505"/>
      <c r="M2505"/>
      <c r="N2505"/>
      <c r="O2505"/>
    </row>
    <row r="2506" spans="1:15" s="17" customFormat="1" ht="16.5" customHeight="1" x14ac:dyDescent="0.25">
      <c r="A2506" s="192" t="s">
        <v>48</v>
      </c>
      <c r="B2506" s="615" t="s">
        <v>49</v>
      </c>
      <c r="C2506" s="616"/>
      <c r="D2506" s="411" t="s">
        <v>85</v>
      </c>
      <c r="E2506" s="409" t="s">
        <v>320</v>
      </c>
      <c r="F2506" s="42" t="s">
        <v>86</v>
      </c>
      <c r="G2506" s="619" t="s">
        <v>52</v>
      </c>
      <c r="H2506" s="620"/>
      <c r="I2506" s="613" t="s">
        <v>53</v>
      </c>
      <c r="K2506"/>
      <c r="L2506"/>
      <c r="M2506"/>
      <c r="N2506"/>
      <c r="O2506"/>
    </row>
    <row r="2507" spans="1:15" s="17" customFormat="1" ht="15" customHeight="1" x14ac:dyDescent="0.25">
      <c r="A2507" s="193" t="s">
        <v>87</v>
      </c>
      <c r="B2507" s="617"/>
      <c r="C2507" s="618"/>
      <c r="D2507" s="412" t="s">
        <v>537</v>
      </c>
      <c r="E2507" s="44" t="s">
        <v>571</v>
      </c>
      <c r="F2507" s="44" t="s">
        <v>571</v>
      </c>
      <c r="G2507" s="29" t="s">
        <v>55</v>
      </c>
      <c r="H2507" s="29" t="s">
        <v>56</v>
      </c>
      <c r="I2507" s="614"/>
      <c r="K2507"/>
      <c r="L2507"/>
      <c r="M2507"/>
      <c r="N2507"/>
      <c r="O2507"/>
    </row>
    <row r="2508" spans="1:15" s="17" customFormat="1" ht="15" customHeight="1" x14ac:dyDescent="0.25">
      <c r="A2508" s="164">
        <v>1</v>
      </c>
      <c r="B2508" s="717">
        <v>2</v>
      </c>
      <c r="C2508" s="718"/>
      <c r="D2508" s="149">
        <v>3</v>
      </c>
      <c r="E2508" s="147">
        <v>4</v>
      </c>
      <c r="F2508" s="147">
        <v>5</v>
      </c>
      <c r="G2508" s="147">
        <v>6</v>
      </c>
      <c r="H2508" s="147">
        <v>7</v>
      </c>
      <c r="I2508" s="164">
        <v>8</v>
      </c>
      <c r="K2508"/>
      <c r="L2508"/>
      <c r="M2508"/>
      <c r="N2508"/>
      <c r="O2508"/>
    </row>
    <row r="2509" spans="1:15" s="17" customFormat="1" ht="16.5" customHeight="1" x14ac:dyDescent="0.25">
      <c r="A2509" s="84" t="s">
        <v>367</v>
      </c>
      <c r="B2509" s="654" t="s">
        <v>368</v>
      </c>
      <c r="C2509" s="655"/>
      <c r="D2509" s="6">
        <f t="shared" ref="D2509:F2511" si="154">D345</f>
        <v>0</v>
      </c>
      <c r="E2509" s="6">
        <f t="shared" si="154"/>
        <v>0</v>
      </c>
      <c r="F2509" s="6">
        <f t="shared" si="154"/>
        <v>0</v>
      </c>
      <c r="G2509" s="91" t="e">
        <f>F2509/D2509</f>
        <v>#DIV/0!</v>
      </c>
      <c r="H2509" s="92" t="e">
        <f>F2509/E2509</f>
        <v>#DIV/0!</v>
      </c>
      <c r="I2509" s="92">
        <f>F2509/F2512</f>
        <v>0</v>
      </c>
      <c r="K2509"/>
      <c r="L2509"/>
      <c r="M2509"/>
      <c r="N2509"/>
      <c r="O2509"/>
    </row>
    <row r="2510" spans="1:15" s="17" customFormat="1" ht="16.5" customHeight="1" x14ac:dyDescent="0.25">
      <c r="A2510" s="84">
        <v>56000</v>
      </c>
      <c r="B2510" s="334" t="s">
        <v>506</v>
      </c>
      <c r="C2510" s="458" t="s">
        <v>512</v>
      </c>
      <c r="D2510" s="110">
        <f t="shared" si="154"/>
        <v>9661.5499999999993</v>
      </c>
      <c r="E2510" s="110">
        <f t="shared" si="154"/>
        <v>0</v>
      </c>
      <c r="F2510" s="110">
        <f t="shared" si="154"/>
        <v>12128.130000000001</v>
      </c>
      <c r="G2510" s="91"/>
      <c r="H2510" s="92"/>
      <c r="I2510" s="92"/>
      <c r="K2510"/>
      <c r="L2510"/>
      <c r="M2510"/>
      <c r="N2510"/>
      <c r="O2510"/>
    </row>
    <row r="2511" spans="1:15" s="17" customFormat="1" ht="15" customHeight="1" x14ac:dyDescent="0.25">
      <c r="A2511" s="84">
        <v>56000</v>
      </c>
      <c r="B2511" s="654" t="s">
        <v>365</v>
      </c>
      <c r="C2511" s="655"/>
      <c r="D2511" s="6">
        <f t="shared" si="154"/>
        <v>9661.5499999999993</v>
      </c>
      <c r="E2511" s="6">
        <f t="shared" si="154"/>
        <v>0</v>
      </c>
      <c r="F2511" s="6">
        <f t="shared" si="154"/>
        <v>12128.130000000001</v>
      </c>
      <c r="G2511" s="91">
        <f>F2511/D2511</f>
        <v>1.2552985804555172</v>
      </c>
      <c r="H2511" s="91" t="e">
        <f>F2511/E2511</f>
        <v>#DIV/0!</v>
      </c>
      <c r="I2511" s="91">
        <f>F2511/F2512</f>
        <v>1</v>
      </c>
      <c r="K2511"/>
      <c r="L2511"/>
      <c r="M2511"/>
      <c r="N2511"/>
      <c r="O2511"/>
    </row>
    <row r="2512" spans="1:15" s="17" customFormat="1" ht="16.5" customHeight="1" x14ac:dyDescent="0.25">
      <c r="A2512" s="168"/>
      <c r="B2512" s="625" t="s">
        <v>331</v>
      </c>
      <c r="C2512" s="626"/>
      <c r="D2512" s="508">
        <f>D2510</f>
        <v>9661.5499999999993</v>
      </c>
      <c r="E2512" s="508">
        <f>SUM(E2509:E2511)</f>
        <v>0</v>
      </c>
      <c r="F2512" s="508">
        <f>F2509+F2510</f>
        <v>12128.130000000001</v>
      </c>
      <c r="G2512" s="170">
        <f>F2512/D2512</f>
        <v>1.2552985804555172</v>
      </c>
      <c r="H2512" s="155" t="e">
        <f>F2512/E2512</f>
        <v>#DIV/0!</v>
      </c>
      <c r="I2512" s="155">
        <f>SUM(I2509:I2511)</f>
        <v>1</v>
      </c>
      <c r="K2512"/>
      <c r="L2512"/>
      <c r="M2512"/>
      <c r="N2512"/>
      <c r="O2512"/>
    </row>
    <row r="2513" spans="1:15" s="17" customFormat="1" ht="16.5" customHeight="1" x14ac:dyDescent="0.25">
      <c r="A2513" s="279"/>
      <c r="B2513" s="276"/>
      <c r="C2513" s="276"/>
      <c r="D2513" s="276"/>
      <c r="E2513" s="276"/>
      <c r="F2513" s="276"/>
      <c r="G2513" s="276"/>
      <c r="H2513" s="276"/>
      <c r="I2513" s="276"/>
      <c r="K2513"/>
      <c r="L2513"/>
      <c r="M2513"/>
      <c r="N2513"/>
      <c r="O2513"/>
    </row>
    <row r="2514" spans="1:15" s="17" customFormat="1" ht="16.5" customHeight="1" x14ac:dyDescent="0.25">
      <c r="A2514" s="20"/>
      <c r="B2514" s="603" t="s">
        <v>989</v>
      </c>
      <c r="C2514" s="603"/>
      <c r="D2514" s="603"/>
      <c r="E2514" s="603"/>
      <c r="F2514" s="603"/>
      <c r="G2514" s="603"/>
      <c r="H2514" s="603"/>
      <c r="I2514" s="603"/>
      <c r="K2514"/>
      <c r="L2514"/>
      <c r="M2514"/>
      <c r="N2514"/>
      <c r="O2514"/>
    </row>
    <row r="2515" spans="1:15" s="17" customFormat="1" ht="16.5" customHeight="1" x14ac:dyDescent="0.25">
      <c r="A2515" s="21" t="s">
        <v>990</v>
      </c>
      <c r="B2515" s="276"/>
      <c r="C2515" s="276"/>
      <c r="D2515" s="276"/>
      <c r="E2515" s="276"/>
      <c r="F2515" s="276"/>
      <c r="G2515" s="276"/>
      <c r="H2515" s="276"/>
      <c r="I2515" s="276"/>
      <c r="K2515"/>
      <c r="L2515"/>
      <c r="M2515"/>
      <c r="N2515"/>
      <c r="O2515"/>
    </row>
    <row r="2516" spans="1:15" s="17" customFormat="1" ht="16.5" customHeight="1" x14ac:dyDescent="0.25">
      <c r="A2516" s="21"/>
      <c r="B2516" s="276"/>
      <c r="C2516" s="276"/>
      <c r="D2516" s="276"/>
      <c r="E2516" s="276"/>
      <c r="F2516" s="276"/>
      <c r="G2516" s="276"/>
      <c r="H2516" s="276"/>
      <c r="I2516" s="315"/>
      <c r="K2516"/>
      <c r="L2516"/>
      <c r="M2516"/>
      <c r="N2516"/>
      <c r="O2516"/>
    </row>
    <row r="2517" spans="1:15" s="17" customFormat="1" ht="16.5" customHeight="1" x14ac:dyDescent="0.25">
      <c r="A2517" s="756" t="s">
        <v>493</v>
      </c>
      <c r="B2517" s="756"/>
      <c r="C2517" s="756"/>
      <c r="D2517" s="756"/>
      <c r="E2517" s="756"/>
      <c r="F2517" s="756"/>
      <c r="G2517" s="756"/>
      <c r="H2517" s="756"/>
      <c r="I2517" s="756"/>
      <c r="K2517"/>
      <c r="L2517"/>
      <c r="M2517"/>
      <c r="N2517"/>
      <c r="O2517"/>
    </row>
    <row r="2518" spans="1:15" s="17" customFormat="1" ht="16.5" customHeight="1" x14ac:dyDescent="0.25">
      <c r="A2518" s="145"/>
      <c r="B2518" s="145"/>
      <c r="C2518" s="145"/>
      <c r="D2518" s="145"/>
      <c r="E2518" s="605" t="s">
        <v>84</v>
      </c>
      <c r="F2518" s="145"/>
      <c r="G2518" s="145"/>
      <c r="H2518" s="145"/>
      <c r="I2518" s="145"/>
      <c r="K2518"/>
      <c r="L2518"/>
      <c r="M2518"/>
      <c r="N2518"/>
      <c r="O2518"/>
    </row>
    <row r="2519" spans="1:15" s="17" customFormat="1" ht="18" customHeight="1" x14ac:dyDescent="0.25">
      <c r="A2519" s="224"/>
      <c r="B2519" s="247"/>
      <c r="C2519" s="15"/>
      <c r="D2519" s="156"/>
      <c r="E2519" s="605"/>
      <c r="F2519" s="156"/>
      <c r="G2519" s="224"/>
      <c r="H2519" s="156"/>
      <c r="I2519" s="156"/>
      <c r="K2519"/>
      <c r="L2519"/>
      <c r="M2519"/>
      <c r="N2519"/>
      <c r="O2519"/>
    </row>
    <row r="2520" spans="1:15" s="17" customFormat="1" ht="16.5" customHeight="1" x14ac:dyDescent="0.25">
      <c r="A2520" s="192" t="s">
        <v>48</v>
      </c>
      <c r="B2520" s="615" t="s">
        <v>49</v>
      </c>
      <c r="C2520" s="616"/>
      <c r="D2520" s="411" t="s">
        <v>85</v>
      </c>
      <c r="E2520" s="409" t="s">
        <v>152</v>
      </c>
      <c r="F2520" s="42" t="s">
        <v>86</v>
      </c>
      <c r="G2520" s="619" t="s">
        <v>52</v>
      </c>
      <c r="H2520" s="620"/>
      <c r="I2520" s="613" t="s">
        <v>53</v>
      </c>
      <c r="K2520"/>
      <c r="L2520"/>
      <c r="M2520"/>
      <c r="N2520"/>
      <c r="O2520"/>
    </row>
    <row r="2521" spans="1:15" s="17" customFormat="1" ht="12" customHeight="1" x14ac:dyDescent="0.25">
      <c r="A2521" s="193" t="s">
        <v>87</v>
      </c>
      <c r="B2521" s="617"/>
      <c r="C2521" s="618"/>
      <c r="D2521" s="412" t="s">
        <v>537</v>
      </c>
      <c r="E2521" s="44" t="s">
        <v>571</v>
      </c>
      <c r="F2521" s="44" t="s">
        <v>571</v>
      </c>
      <c r="G2521" s="29" t="s">
        <v>55</v>
      </c>
      <c r="H2521" s="29" t="s">
        <v>56</v>
      </c>
      <c r="I2521" s="614"/>
      <c r="K2521"/>
      <c r="L2521"/>
      <c r="M2521"/>
      <c r="N2521"/>
      <c r="O2521"/>
    </row>
    <row r="2522" spans="1:15" s="17" customFormat="1" ht="12" customHeight="1" x14ac:dyDescent="0.25">
      <c r="A2522" s="164">
        <v>1</v>
      </c>
      <c r="B2522" s="717">
        <v>2</v>
      </c>
      <c r="C2522" s="718"/>
      <c r="D2522" s="149">
        <v>3</v>
      </c>
      <c r="E2522" s="147">
        <v>4</v>
      </c>
      <c r="F2522" s="147">
        <v>5</v>
      </c>
      <c r="G2522" s="147">
        <v>6</v>
      </c>
      <c r="H2522" s="147">
        <v>7</v>
      </c>
      <c r="I2522" s="164">
        <v>8</v>
      </c>
      <c r="K2522"/>
      <c r="L2522"/>
      <c r="M2522"/>
      <c r="N2522"/>
      <c r="O2522"/>
    </row>
    <row r="2523" spans="1:15" s="17" customFormat="1" ht="16.5" customHeight="1" x14ac:dyDescent="0.25">
      <c r="A2523" s="86">
        <v>111</v>
      </c>
      <c r="B2523" s="601" t="s">
        <v>184</v>
      </c>
      <c r="C2523" s="602"/>
      <c r="D2523" s="6">
        <f>D644</f>
        <v>8813727.9199999999</v>
      </c>
      <c r="E2523" s="6">
        <f>E644</f>
        <v>10895796.9</v>
      </c>
      <c r="F2523" s="6">
        <f>F644</f>
        <v>10890218.4</v>
      </c>
      <c r="G2523" s="91">
        <f t="shared" ref="G2523:G2528" si="155">F2523/D2523</f>
        <v>1.2355972976302179</v>
      </c>
      <c r="H2523" s="92">
        <f t="shared" ref="H2523:H2528" si="156">F2523/E2523</f>
        <v>0.99948801358439421</v>
      </c>
      <c r="I2523" s="92">
        <f>F2523/F2528</f>
        <v>0.93044204099576489</v>
      </c>
      <c r="K2523"/>
      <c r="L2523"/>
      <c r="M2523"/>
      <c r="N2523"/>
      <c r="O2523"/>
    </row>
    <row r="2524" spans="1:15" s="17" customFormat="1" ht="16.5" customHeight="1" x14ac:dyDescent="0.25">
      <c r="A2524" s="86">
        <v>130</v>
      </c>
      <c r="B2524" s="601" t="s">
        <v>185</v>
      </c>
      <c r="C2524" s="602"/>
      <c r="D2524" s="6">
        <f>D870</f>
        <v>223176.05</v>
      </c>
      <c r="E2524" s="6">
        <f>E870</f>
        <v>90005</v>
      </c>
      <c r="F2524" s="6">
        <f>F870</f>
        <v>89992.35</v>
      </c>
      <c r="G2524" s="91">
        <f t="shared" si="155"/>
        <v>0.40323480050838795</v>
      </c>
      <c r="H2524" s="92">
        <f t="shared" si="156"/>
        <v>0.99985945225265271</v>
      </c>
      <c r="I2524" s="92">
        <f>F2524/F2528</f>
        <v>7.6887958287416187E-3</v>
      </c>
      <c r="K2524"/>
      <c r="L2524"/>
      <c r="M2524"/>
      <c r="N2524"/>
      <c r="O2524"/>
    </row>
    <row r="2525" spans="1:15" s="17" customFormat="1" ht="16.5" customHeight="1" x14ac:dyDescent="0.25">
      <c r="A2525" s="86">
        <v>132</v>
      </c>
      <c r="B2525" s="601" t="s">
        <v>186</v>
      </c>
      <c r="C2525" s="602"/>
      <c r="D2525" s="6">
        <f>D977</f>
        <v>0</v>
      </c>
      <c r="E2525" s="6">
        <f>E977</f>
        <v>0</v>
      </c>
      <c r="F2525" s="6">
        <f>F977</f>
        <v>0</v>
      </c>
      <c r="G2525" s="91" t="e">
        <f t="shared" si="155"/>
        <v>#DIV/0!</v>
      </c>
      <c r="H2525" s="92" t="e">
        <f t="shared" si="156"/>
        <v>#DIV/0!</v>
      </c>
      <c r="I2525" s="92">
        <f>F2525/F2528</f>
        <v>0</v>
      </c>
      <c r="K2525"/>
      <c r="L2525"/>
      <c r="M2525"/>
      <c r="N2525"/>
      <c r="O2525"/>
    </row>
    <row r="2526" spans="1:15" s="17" customFormat="1" ht="16.5" customHeight="1" x14ac:dyDescent="0.25">
      <c r="A2526" s="86">
        <v>200</v>
      </c>
      <c r="B2526" s="601" t="s">
        <v>187</v>
      </c>
      <c r="C2526" s="602"/>
      <c r="D2526" s="6">
        <f>D1089</f>
        <v>0</v>
      </c>
      <c r="E2526" s="6">
        <f>E1089</f>
        <v>0</v>
      </c>
      <c r="F2526" s="6">
        <f>F1089</f>
        <v>0</v>
      </c>
      <c r="G2526" s="91" t="e">
        <f t="shared" si="155"/>
        <v>#DIV/0!</v>
      </c>
      <c r="H2526" s="92" t="e">
        <f t="shared" si="156"/>
        <v>#DIV/0!</v>
      </c>
      <c r="I2526" s="92">
        <f>F2526/F2528</f>
        <v>0</v>
      </c>
      <c r="K2526"/>
      <c r="L2526"/>
      <c r="M2526"/>
      <c r="N2526"/>
      <c r="O2526"/>
    </row>
    <row r="2527" spans="1:15" s="17" customFormat="1" ht="16.5" customHeight="1" x14ac:dyDescent="0.25">
      <c r="A2527" s="86">
        <v>300</v>
      </c>
      <c r="B2527" s="601" t="s">
        <v>188</v>
      </c>
      <c r="C2527" s="602"/>
      <c r="D2527" s="6">
        <f>D1199</f>
        <v>467800.4</v>
      </c>
      <c r="E2527" s="6">
        <f>E1199</f>
        <v>761636.4</v>
      </c>
      <c r="F2527" s="6">
        <f>F1199</f>
        <v>724138.28</v>
      </c>
      <c r="G2527" s="91">
        <f t="shared" si="155"/>
        <v>1.5479642172174286</v>
      </c>
      <c r="H2527" s="92">
        <f t="shared" si="156"/>
        <v>0.95076637618685245</v>
      </c>
      <c r="I2527" s="92">
        <f>F2527/F2528</f>
        <v>6.1869163175493583E-2</v>
      </c>
      <c r="K2527"/>
      <c r="L2527"/>
      <c r="M2527"/>
      <c r="N2527"/>
      <c r="O2527"/>
    </row>
    <row r="2528" spans="1:15" s="17" customFormat="1" ht="16.5" customHeight="1" x14ac:dyDescent="0.25">
      <c r="A2528" s="168"/>
      <c r="B2528" s="342" t="s">
        <v>83</v>
      </c>
      <c r="C2528" s="343"/>
      <c r="D2528" s="509">
        <f>D2523+D2524+D2525+D2526+D2527</f>
        <v>9504704.370000001</v>
      </c>
      <c r="E2528" s="509">
        <f>E2523+E2524+E2525+E2526+E2527</f>
        <v>11747438.300000001</v>
      </c>
      <c r="F2528" s="509">
        <f>F2523+F2524+F2525+F2526+F2527</f>
        <v>11704349.029999999</v>
      </c>
      <c r="G2528" s="200">
        <f t="shared" si="155"/>
        <v>1.2314269412674008</v>
      </c>
      <c r="H2528" s="155">
        <f t="shared" si="156"/>
        <v>0.99633202840486501</v>
      </c>
      <c r="I2528" s="206">
        <f>SUM(I2523:I2527)</f>
        <v>1</v>
      </c>
      <c r="K2528"/>
      <c r="L2528"/>
      <c r="M2528"/>
      <c r="N2528"/>
      <c r="O2528"/>
    </row>
    <row r="2529" spans="1:15" s="17" customFormat="1" ht="16.5" customHeight="1" x14ac:dyDescent="0.25">
      <c r="A2529" s="314"/>
      <c r="B2529" s="314"/>
      <c r="C2529" s="314"/>
      <c r="D2529" s="314"/>
      <c r="E2529" s="314"/>
      <c r="F2529" s="314"/>
      <c r="G2529" s="156"/>
      <c r="H2529" s="20"/>
      <c r="K2529"/>
      <c r="L2529"/>
      <c r="M2529"/>
      <c r="N2529"/>
      <c r="O2529"/>
    </row>
    <row r="2530" spans="1:15" s="17" customFormat="1" ht="16.5" customHeight="1" x14ac:dyDescent="0.25">
      <c r="A2530" s="627" t="s">
        <v>1091</v>
      </c>
      <c r="B2530" s="627"/>
      <c r="C2530" s="627"/>
      <c r="D2530" s="627"/>
      <c r="E2530" s="627"/>
      <c r="F2530" s="627"/>
      <c r="G2530" s="627"/>
      <c r="H2530" s="627"/>
      <c r="I2530" s="627"/>
      <c r="K2530"/>
      <c r="L2530"/>
      <c r="M2530"/>
      <c r="N2530"/>
      <c r="O2530"/>
    </row>
    <row r="2531" spans="1:15" s="17" customFormat="1" ht="16.5" customHeight="1" x14ac:dyDescent="0.25">
      <c r="A2531" s="315"/>
      <c r="B2531" s="627" t="s">
        <v>1092</v>
      </c>
      <c r="C2531" s="627"/>
      <c r="D2531" s="627"/>
      <c r="E2531" s="627"/>
      <c r="F2531" s="627"/>
      <c r="G2531" s="627"/>
      <c r="H2531" s="627"/>
      <c r="I2531" s="627"/>
      <c r="K2531"/>
      <c r="L2531"/>
      <c r="M2531"/>
      <c r="N2531"/>
      <c r="O2531"/>
    </row>
    <row r="2532" spans="1:15" s="17" customFormat="1" ht="12" customHeight="1" x14ac:dyDescent="0.25">
      <c r="A2532" s="621" t="s">
        <v>1093</v>
      </c>
      <c r="B2532" s="621"/>
      <c r="C2532" s="621"/>
      <c r="D2532" s="621"/>
      <c r="E2532" s="621"/>
      <c r="F2532" s="621"/>
      <c r="G2532" s="621"/>
      <c r="H2532" s="621"/>
      <c r="I2532" s="621"/>
      <c r="K2532"/>
      <c r="L2532"/>
      <c r="M2532"/>
      <c r="N2532"/>
      <c r="O2532"/>
    </row>
    <row r="2533" spans="1:15" s="17" customFormat="1" ht="16.5" customHeight="1" x14ac:dyDescent="0.25">
      <c r="A2533" s="621" t="s">
        <v>1094</v>
      </c>
      <c r="B2533" s="621"/>
      <c r="C2533" s="621"/>
      <c r="D2533" s="621"/>
      <c r="E2533" s="621"/>
      <c r="F2533" s="621"/>
      <c r="G2533" s="621"/>
      <c r="H2533" s="621"/>
      <c r="I2533" s="621"/>
      <c r="K2533"/>
      <c r="L2533"/>
      <c r="M2533"/>
      <c r="N2533"/>
      <c r="O2533"/>
    </row>
    <row r="2534" spans="1:15" s="17" customFormat="1" ht="16.5" customHeight="1" x14ac:dyDescent="0.25">
      <c r="A2534" s="622" t="s">
        <v>1095</v>
      </c>
      <c r="B2534" s="622"/>
      <c r="C2534" s="622"/>
      <c r="D2534" s="622"/>
      <c r="E2534" s="622"/>
      <c r="F2534" s="622"/>
      <c r="G2534" s="622"/>
      <c r="H2534" s="622"/>
      <c r="I2534" s="622"/>
      <c r="K2534"/>
      <c r="L2534"/>
      <c r="M2534"/>
      <c r="N2534"/>
      <c r="O2534"/>
    </row>
    <row r="2535" spans="1:15" s="17" customFormat="1" ht="16.5" customHeight="1" x14ac:dyDescent="0.25">
      <c r="A2535" s="156" t="s">
        <v>991</v>
      </c>
      <c r="B2535" s="156"/>
      <c r="C2535" s="156"/>
      <c r="D2535" s="156"/>
      <c r="E2535" s="156"/>
      <c r="F2535" s="156"/>
      <c r="G2535" s="156"/>
      <c r="H2535" s="156"/>
      <c r="I2535" s="156"/>
      <c r="K2535"/>
      <c r="L2535"/>
      <c r="M2535"/>
      <c r="N2535"/>
      <c r="O2535"/>
    </row>
    <row r="2536" spans="1:15" s="17" customFormat="1" ht="16.5" customHeight="1" x14ac:dyDescent="0.25">
      <c r="A2536" s="621" t="s">
        <v>992</v>
      </c>
      <c r="B2536" s="621"/>
      <c r="C2536" s="621"/>
      <c r="D2536" s="621"/>
      <c r="E2536" s="621"/>
      <c r="F2536" s="621"/>
      <c r="G2536" s="621"/>
      <c r="H2536" s="621"/>
      <c r="I2536" s="621"/>
      <c r="K2536"/>
      <c r="L2536"/>
      <c r="M2536"/>
      <c r="N2536"/>
      <c r="O2536"/>
    </row>
    <row r="2537" spans="1:15" s="17" customFormat="1" ht="16.5" customHeight="1" x14ac:dyDescent="0.25">
      <c r="A2537" s="145"/>
      <c r="B2537" s="145" t="s">
        <v>1096</v>
      </c>
      <c r="C2537" s="145"/>
      <c r="D2537" s="145"/>
      <c r="E2537" s="145"/>
      <c r="F2537" s="145"/>
      <c r="G2537" s="145"/>
      <c r="H2537" s="145"/>
      <c r="I2537" s="145"/>
      <c r="K2537"/>
      <c r="L2537"/>
      <c r="M2537"/>
      <c r="N2537"/>
      <c r="O2537"/>
    </row>
    <row r="2538" spans="1:15" s="17" customFormat="1" ht="16.5" customHeight="1" x14ac:dyDescent="0.25">
      <c r="A2538" s="145" t="s">
        <v>1097</v>
      </c>
      <c r="B2538" s="145"/>
      <c r="C2538" s="145"/>
      <c r="D2538" s="145"/>
      <c r="E2538" s="145"/>
      <c r="F2538" s="145"/>
      <c r="G2538" s="145"/>
      <c r="H2538" s="145"/>
      <c r="I2538" s="145"/>
      <c r="K2538"/>
      <c r="L2538"/>
      <c r="M2538"/>
      <c r="N2538"/>
      <c r="O2538"/>
    </row>
    <row r="2539" spans="1:15" s="17" customFormat="1" ht="16.5" customHeight="1" x14ac:dyDescent="0.25">
      <c r="A2539" s="145"/>
      <c r="B2539" s="145"/>
      <c r="C2539" s="145"/>
      <c r="D2539" s="145"/>
      <c r="E2539" s="145"/>
      <c r="F2539" s="145"/>
      <c r="G2539" s="145"/>
      <c r="H2539" s="145"/>
      <c r="I2539" s="145"/>
      <c r="K2539"/>
      <c r="L2539"/>
      <c r="M2539"/>
      <c r="N2539"/>
      <c r="O2539"/>
    </row>
    <row r="2540" spans="1:15" s="17" customFormat="1" ht="16.5" customHeight="1" x14ac:dyDescent="0.25">
      <c r="A2540" s="145"/>
      <c r="B2540" s="145"/>
      <c r="C2540" s="145"/>
      <c r="D2540" s="145"/>
      <c r="E2540" s="145"/>
      <c r="F2540" s="145"/>
      <c r="G2540" s="145"/>
      <c r="H2540" s="145"/>
      <c r="I2540" s="145"/>
      <c r="K2540"/>
      <c r="L2540"/>
      <c r="M2540"/>
      <c r="N2540"/>
      <c r="O2540"/>
    </row>
    <row r="2541" spans="1:15" s="17" customFormat="1" ht="16.5" customHeight="1" x14ac:dyDescent="0.25">
      <c r="A2541" s="145"/>
      <c r="B2541" s="145"/>
      <c r="C2541" s="145"/>
      <c r="D2541" s="145"/>
      <c r="E2541" s="145"/>
      <c r="F2541" s="145"/>
      <c r="G2541" s="145"/>
      <c r="H2541" s="145"/>
      <c r="I2541" s="145"/>
      <c r="K2541"/>
      <c r="L2541"/>
      <c r="M2541"/>
      <c r="N2541"/>
      <c r="O2541"/>
    </row>
    <row r="2542" spans="1:15" s="17" customFormat="1" ht="16.5" customHeight="1" x14ac:dyDescent="0.25">
      <c r="A2542" s="145"/>
      <c r="B2542" s="145"/>
      <c r="C2542" s="145"/>
      <c r="D2542" s="145"/>
      <c r="E2542" s="145"/>
      <c r="F2542" s="145"/>
      <c r="G2542" s="145"/>
      <c r="H2542" s="145"/>
      <c r="I2542" s="145"/>
      <c r="K2542"/>
      <c r="L2542"/>
      <c r="M2542"/>
      <c r="N2542"/>
      <c r="O2542"/>
    </row>
    <row r="2543" spans="1:15" s="17" customFormat="1" ht="16.5" customHeight="1" x14ac:dyDescent="0.25">
      <c r="A2543" s="145"/>
      <c r="B2543" s="145"/>
      <c r="C2543" s="145"/>
      <c r="D2543" s="145"/>
      <c r="E2543" s="145"/>
      <c r="F2543" s="145"/>
      <c r="G2543" s="145"/>
      <c r="H2543" s="145"/>
      <c r="I2543" s="145"/>
      <c r="K2543"/>
      <c r="L2543"/>
      <c r="M2543"/>
      <c r="N2543"/>
      <c r="O2543"/>
    </row>
    <row r="2544" spans="1:15" s="17" customFormat="1" ht="16.5" customHeight="1" x14ac:dyDescent="0.25">
      <c r="A2544" s="145"/>
      <c r="B2544" s="145"/>
      <c r="C2544" s="145"/>
      <c r="D2544" s="145"/>
      <c r="E2544" s="145"/>
      <c r="F2544" s="145"/>
      <c r="G2544" s="145"/>
      <c r="H2544" s="145"/>
      <c r="I2544" s="145"/>
      <c r="K2544"/>
      <c r="L2544"/>
      <c r="M2544"/>
      <c r="N2544"/>
      <c r="O2544"/>
    </row>
    <row r="2545" spans="1:15" s="17" customFormat="1" ht="16.5" customHeight="1" x14ac:dyDescent="0.25">
      <c r="A2545" s="145"/>
      <c r="B2545" s="145"/>
      <c r="C2545" s="145"/>
      <c r="D2545" s="145"/>
      <c r="E2545" s="145"/>
      <c r="F2545" s="145"/>
      <c r="G2545" s="145"/>
      <c r="H2545" s="145"/>
      <c r="I2545" s="145"/>
      <c r="K2545"/>
      <c r="L2545"/>
      <c r="M2545"/>
      <c r="N2545"/>
      <c r="O2545"/>
    </row>
    <row r="2546" spans="1:15" s="17" customFormat="1" ht="16.5" customHeight="1" x14ac:dyDescent="0.25">
      <c r="A2546" s="145"/>
      <c r="B2546" s="145"/>
      <c r="C2546" s="145"/>
      <c r="D2546" s="145"/>
      <c r="E2546" s="145"/>
      <c r="F2546" s="145"/>
      <c r="G2546" s="145"/>
      <c r="H2546" s="145"/>
      <c r="I2546" s="145"/>
      <c r="K2546"/>
      <c r="L2546"/>
      <c r="M2546"/>
      <c r="N2546"/>
      <c r="O2546"/>
    </row>
    <row r="2547" spans="1:15" s="17" customFormat="1" ht="16.5" customHeight="1" x14ac:dyDescent="0.25">
      <c r="A2547" s="145"/>
      <c r="B2547" s="145"/>
      <c r="C2547" s="145"/>
      <c r="D2547" s="145"/>
      <c r="E2547" s="145"/>
      <c r="F2547" s="145"/>
      <c r="G2547" s="145"/>
      <c r="H2547" s="145"/>
      <c r="I2547" s="145"/>
      <c r="K2547"/>
      <c r="L2547"/>
      <c r="M2547"/>
      <c r="N2547"/>
      <c r="O2547"/>
    </row>
    <row r="2548" spans="1:15" s="17" customFormat="1" ht="16.5" customHeight="1" x14ac:dyDescent="0.25">
      <c r="A2548" s="145"/>
      <c r="B2548" s="145"/>
      <c r="C2548" s="145"/>
      <c r="D2548" s="145"/>
      <c r="E2548" s="145"/>
      <c r="F2548" s="145"/>
      <c r="G2548" s="145"/>
      <c r="H2548" s="145"/>
      <c r="I2548" s="145"/>
      <c r="K2548"/>
      <c r="L2548"/>
      <c r="M2548"/>
      <c r="N2548"/>
      <c r="O2548"/>
    </row>
    <row r="2549" spans="1:15" s="17" customFormat="1" ht="16.5" customHeight="1" x14ac:dyDescent="0.25">
      <c r="A2549" s="145"/>
      <c r="B2549" s="145"/>
      <c r="C2549" s="145"/>
      <c r="D2549" s="145"/>
      <c r="E2549" s="145"/>
      <c r="F2549" s="145"/>
      <c r="G2549" s="145"/>
      <c r="H2549" s="145"/>
      <c r="I2549" s="145"/>
      <c r="K2549"/>
      <c r="L2549"/>
      <c r="M2549"/>
      <c r="N2549"/>
      <c r="O2549"/>
    </row>
    <row r="2550" spans="1:15" s="17" customFormat="1" ht="16.5" customHeight="1" x14ac:dyDescent="0.25">
      <c r="A2550" s="145"/>
      <c r="B2550" s="145"/>
      <c r="C2550" s="145"/>
      <c r="D2550" s="145"/>
      <c r="E2550" s="145"/>
      <c r="F2550" s="145"/>
      <c r="G2550" s="145"/>
      <c r="H2550" s="145"/>
      <c r="I2550" s="145"/>
      <c r="K2550"/>
      <c r="L2550"/>
      <c r="M2550"/>
      <c r="N2550"/>
      <c r="O2550"/>
    </row>
    <row r="2551" spans="1:15" s="17" customFormat="1" ht="16.5" customHeight="1" x14ac:dyDescent="0.25">
      <c r="A2551" s="145"/>
      <c r="B2551" s="145"/>
      <c r="C2551" s="145"/>
      <c r="D2551" s="145"/>
      <c r="E2551" s="145"/>
      <c r="F2551" s="145"/>
      <c r="G2551" s="145"/>
      <c r="H2551" s="145"/>
      <c r="I2551" s="145"/>
      <c r="K2551"/>
      <c r="L2551"/>
      <c r="M2551"/>
      <c r="N2551"/>
      <c r="O2551"/>
    </row>
    <row r="2552" spans="1:15" s="17" customFormat="1" ht="16.5" customHeight="1" x14ac:dyDescent="0.25">
      <c r="A2552" s="145"/>
      <c r="B2552" s="145"/>
      <c r="C2552" s="145"/>
      <c r="D2552" s="145"/>
      <c r="E2552" s="145"/>
      <c r="F2552" s="145"/>
      <c r="G2552" s="145"/>
      <c r="H2552" s="145"/>
      <c r="I2552" s="145"/>
      <c r="K2552"/>
      <c r="L2552"/>
      <c r="M2552"/>
      <c r="N2552"/>
      <c r="O2552"/>
    </row>
    <row r="2553" spans="1:15" s="17" customFormat="1" ht="16.5" customHeight="1" x14ac:dyDescent="0.25">
      <c r="A2553" s="145"/>
      <c r="B2553" s="145"/>
      <c r="C2553" s="145"/>
      <c r="D2553" s="145"/>
      <c r="E2553" s="145"/>
      <c r="F2553" s="145"/>
      <c r="G2553" s="145"/>
      <c r="H2553" s="145"/>
      <c r="I2553" s="145"/>
      <c r="K2553"/>
      <c r="L2553"/>
      <c r="M2553"/>
      <c r="N2553"/>
      <c r="O2553"/>
    </row>
    <row r="2554" spans="1:15" s="17" customFormat="1" ht="16.5" customHeight="1" x14ac:dyDescent="0.25">
      <c r="A2554" s="145"/>
      <c r="B2554" s="145"/>
      <c r="C2554" s="145"/>
      <c r="D2554" s="145"/>
      <c r="E2554" s="145"/>
      <c r="F2554" s="145"/>
      <c r="G2554" s="145"/>
      <c r="H2554" s="145"/>
      <c r="I2554" s="257">
        <v>45</v>
      </c>
      <c r="K2554"/>
      <c r="L2554"/>
      <c r="M2554"/>
      <c r="N2554"/>
      <c r="O2554"/>
    </row>
    <row r="2555" spans="1:15" s="17" customFormat="1" ht="16.5" customHeight="1" x14ac:dyDescent="0.25">
      <c r="A2555" s="145"/>
      <c r="B2555" s="145"/>
      <c r="C2555" s="145"/>
      <c r="D2555" s="145"/>
      <c r="E2555" s="145"/>
      <c r="F2555" s="145"/>
      <c r="G2555" s="145"/>
      <c r="H2555" s="145"/>
      <c r="K2555"/>
      <c r="L2555"/>
      <c r="M2555"/>
      <c r="N2555"/>
      <c r="O2555"/>
    </row>
    <row r="2556" spans="1:15" s="17" customFormat="1" ht="16.5" customHeight="1" x14ac:dyDescent="0.25">
      <c r="A2556" s="145"/>
      <c r="B2556" s="145"/>
      <c r="C2556" s="145"/>
      <c r="D2556" s="145"/>
      <c r="E2556" s="145"/>
      <c r="F2556" s="145"/>
      <c r="G2556" s="145"/>
      <c r="H2556" s="145"/>
      <c r="I2556" s="145"/>
      <c r="K2556"/>
      <c r="L2556"/>
      <c r="M2556"/>
      <c r="N2556"/>
      <c r="O2556"/>
    </row>
    <row r="2557" spans="1:15" s="17" customFormat="1" ht="16.5" customHeight="1" x14ac:dyDescent="0.25">
      <c r="A2557" s="279"/>
      <c r="B2557" s="635" t="s">
        <v>369</v>
      </c>
      <c r="C2557" s="635"/>
      <c r="D2557" s="279"/>
      <c r="E2557" s="279"/>
      <c r="F2557" s="279"/>
      <c r="G2557" s="20"/>
      <c r="H2557" s="297"/>
      <c r="I2557" s="280"/>
      <c r="K2557"/>
      <c r="L2557"/>
      <c r="M2557"/>
      <c r="N2557"/>
      <c r="O2557"/>
    </row>
    <row r="2558" spans="1:15" s="17" customFormat="1" ht="16.5" customHeight="1" x14ac:dyDescent="0.25">
      <c r="A2558" s="279"/>
      <c r="B2558" s="279"/>
      <c r="C2558" s="279"/>
      <c r="D2558" s="279"/>
      <c r="E2558" s="279"/>
      <c r="F2558" s="279"/>
      <c r="G2558" s="20"/>
      <c r="H2558" s="297"/>
      <c r="I2558" s="280"/>
      <c r="K2558"/>
      <c r="L2558"/>
      <c r="M2558"/>
      <c r="N2558"/>
      <c r="O2558"/>
    </row>
    <row r="2559" spans="1:15" s="17" customFormat="1" ht="16.5" customHeight="1" x14ac:dyDescent="0.25">
      <c r="A2559" s="764" t="s">
        <v>993</v>
      </c>
      <c r="B2559" s="764"/>
      <c r="C2559" s="764"/>
      <c r="D2559" s="764"/>
      <c r="E2559" s="764"/>
      <c r="F2559" s="764"/>
      <c r="G2559" s="764"/>
      <c r="H2559" s="764"/>
      <c r="I2559" s="764"/>
      <c r="K2559"/>
      <c r="L2559"/>
      <c r="M2559"/>
      <c r="N2559"/>
      <c r="O2559"/>
    </row>
    <row r="2560" spans="1:15" s="17" customFormat="1" ht="16.5" customHeight="1" x14ac:dyDescent="0.25">
      <c r="A2560" s="764" t="s">
        <v>994</v>
      </c>
      <c r="B2560" s="764"/>
      <c r="C2560" s="764"/>
      <c r="D2560" s="764"/>
      <c r="E2560" s="764"/>
      <c r="F2560" s="764"/>
      <c r="G2560" s="764"/>
      <c r="H2560" s="764"/>
      <c r="I2560" s="764"/>
      <c r="K2560"/>
      <c r="L2560"/>
      <c r="M2560"/>
      <c r="N2560"/>
      <c r="O2560"/>
    </row>
    <row r="2561" spans="1:15" s="17" customFormat="1" ht="12" customHeight="1" x14ac:dyDescent="0.25">
      <c r="A2561" s="145"/>
      <c r="B2561" s="145"/>
      <c r="C2561" s="145"/>
      <c r="D2561" s="145"/>
      <c r="E2561" s="605" t="s">
        <v>84</v>
      </c>
      <c r="F2561" s="145"/>
      <c r="G2561" s="145"/>
      <c r="H2561" s="145"/>
      <c r="I2561" s="145"/>
      <c r="K2561"/>
      <c r="L2561"/>
      <c r="M2561"/>
      <c r="N2561"/>
      <c r="O2561"/>
    </row>
    <row r="2562" spans="1:15" s="17" customFormat="1" ht="16.5" customHeight="1" x14ac:dyDescent="0.25">
      <c r="A2562" s="224"/>
      <c r="B2562" s="247"/>
      <c r="C2562" s="15"/>
      <c r="D2562" s="156"/>
      <c r="E2562" s="605"/>
      <c r="F2562" s="156"/>
      <c r="G2562" s="224"/>
      <c r="H2562" s="156"/>
      <c r="I2562" s="156"/>
      <c r="K2562"/>
      <c r="L2562"/>
      <c r="M2562"/>
      <c r="N2562"/>
      <c r="O2562"/>
    </row>
    <row r="2563" spans="1:15" s="17" customFormat="1" ht="16.5" customHeight="1" x14ac:dyDescent="0.25">
      <c r="A2563" s="192" t="s">
        <v>48</v>
      </c>
      <c r="B2563" s="615" t="s">
        <v>49</v>
      </c>
      <c r="C2563" s="616"/>
      <c r="D2563" s="411" t="s">
        <v>85</v>
      </c>
      <c r="E2563" s="409" t="s">
        <v>320</v>
      </c>
      <c r="F2563" s="42" t="s">
        <v>86</v>
      </c>
      <c r="G2563" s="619" t="s">
        <v>52</v>
      </c>
      <c r="H2563" s="620"/>
      <c r="I2563" s="613" t="s">
        <v>53</v>
      </c>
      <c r="K2563"/>
      <c r="L2563"/>
      <c r="M2563"/>
      <c r="N2563"/>
      <c r="O2563"/>
    </row>
    <row r="2564" spans="1:15" s="17" customFormat="1" ht="12" customHeight="1" x14ac:dyDescent="0.25">
      <c r="A2564" s="193" t="s">
        <v>87</v>
      </c>
      <c r="B2564" s="617"/>
      <c r="C2564" s="618"/>
      <c r="D2564" s="412" t="s">
        <v>537</v>
      </c>
      <c r="E2564" s="44" t="s">
        <v>571</v>
      </c>
      <c r="F2564" s="44" t="s">
        <v>571</v>
      </c>
      <c r="G2564" s="29" t="s">
        <v>55</v>
      </c>
      <c r="H2564" s="29" t="s">
        <v>56</v>
      </c>
      <c r="I2564" s="614"/>
      <c r="K2564"/>
      <c r="L2564"/>
      <c r="M2564"/>
      <c r="N2564"/>
      <c r="O2564"/>
    </row>
    <row r="2565" spans="1:15" s="17" customFormat="1" ht="12" customHeight="1" x14ac:dyDescent="0.25">
      <c r="A2565" s="164">
        <v>1</v>
      </c>
      <c r="B2565" s="717">
        <v>2</v>
      </c>
      <c r="C2565" s="718"/>
      <c r="D2565" s="147">
        <v>3</v>
      </c>
      <c r="E2565" s="147">
        <v>3</v>
      </c>
      <c r="F2565" s="147">
        <v>5</v>
      </c>
      <c r="G2565" s="147">
        <v>6</v>
      </c>
      <c r="H2565" s="147">
        <v>7</v>
      </c>
      <c r="I2565" s="164">
        <v>8</v>
      </c>
      <c r="K2565"/>
      <c r="L2565"/>
      <c r="M2565"/>
      <c r="N2565"/>
      <c r="O2565"/>
    </row>
    <row r="2566" spans="1:15" s="17" customFormat="1" ht="16.5" customHeight="1" x14ac:dyDescent="0.25">
      <c r="A2566" s="84">
        <v>50409</v>
      </c>
      <c r="B2566" s="654" t="s">
        <v>368</v>
      </c>
      <c r="C2566" s="655"/>
      <c r="D2566" s="6">
        <f>D349</f>
        <v>58681</v>
      </c>
      <c r="E2566" s="6">
        <f>E349</f>
        <v>50001</v>
      </c>
      <c r="F2566" s="6">
        <f>F349</f>
        <v>49050.2</v>
      </c>
      <c r="G2566" s="91">
        <f>F2566/D2566</f>
        <v>0.83587873417290093</v>
      </c>
      <c r="H2566" s="92">
        <f>F2566/E2566</f>
        <v>0.98098438031239366</v>
      </c>
      <c r="I2566" s="92">
        <f>F2566/F2570</f>
        <v>0.66169420004802493</v>
      </c>
      <c r="K2566"/>
      <c r="L2566"/>
      <c r="M2566"/>
      <c r="N2566"/>
      <c r="O2566"/>
    </row>
    <row r="2567" spans="1:15" s="17" customFormat="1" ht="16.5" customHeight="1" x14ac:dyDescent="0.25">
      <c r="A2567" s="84">
        <v>56000</v>
      </c>
      <c r="B2567" s="334" t="s">
        <v>550</v>
      </c>
      <c r="C2567" s="458"/>
      <c r="D2567" s="6">
        <f>D2568+D2569</f>
        <v>2358</v>
      </c>
      <c r="E2567" s="6">
        <f t="shared" ref="E2567:F2567" si="157">E2568+E2569</f>
        <v>0</v>
      </c>
      <c r="F2567" s="6">
        <f t="shared" si="157"/>
        <v>25078</v>
      </c>
      <c r="G2567" s="91"/>
      <c r="H2567" s="92"/>
      <c r="I2567" s="92">
        <f>F2567/F2570</f>
        <v>0.33830579995197513</v>
      </c>
      <c r="K2567"/>
      <c r="L2567"/>
      <c r="M2567"/>
      <c r="N2567"/>
      <c r="O2567"/>
    </row>
    <row r="2568" spans="1:15" s="17" customFormat="1" ht="16.5" customHeight="1" x14ac:dyDescent="0.25">
      <c r="A2568" s="84"/>
      <c r="B2568" s="334"/>
      <c r="C2568" s="458" t="s">
        <v>549</v>
      </c>
      <c r="D2568" s="6">
        <f>D350</f>
        <v>2358</v>
      </c>
      <c r="E2568" s="6">
        <f>E350</f>
        <v>0</v>
      </c>
      <c r="F2568" s="6">
        <f>F350</f>
        <v>25078</v>
      </c>
      <c r="G2568" s="91"/>
      <c r="H2568" s="92"/>
      <c r="I2568" s="92"/>
      <c r="K2568"/>
      <c r="L2568"/>
      <c r="M2568"/>
      <c r="N2568"/>
      <c r="O2568"/>
    </row>
    <row r="2569" spans="1:15" s="17" customFormat="1" ht="16.5" customHeight="1" x14ac:dyDescent="0.25">
      <c r="A2569" s="84"/>
      <c r="B2569" s="334"/>
      <c r="C2569" s="458" t="s">
        <v>502</v>
      </c>
      <c r="D2569" s="6"/>
      <c r="E2569" s="349"/>
      <c r="F2569" s="6"/>
      <c r="G2569" s="91"/>
      <c r="H2569" s="92"/>
      <c r="I2569" s="92"/>
      <c r="K2569"/>
      <c r="L2569"/>
      <c r="M2569"/>
      <c r="N2569"/>
      <c r="O2569"/>
    </row>
    <row r="2570" spans="1:15" s="17" customFormat="1" ht="16.5" customHeight="1" x14ac:dyDescent="0.25">
      <c r="A2570" s="168"/>
      <c r="B2570" s="625" t="s">
        <v>331</v>
      </c>
      <c r="C2570" s="626"/>
      <c r="D2570" s="508">
        <f>D2566+D2567</f>
        <v>61039</v>
      </c>
      <c r="E2570" s="508">
        <f>E2566</f>
        <v>50001</v>
      </c>
      <c r="F2570" s="508">
        <f>F2566+F2567</f>
        <v>74128.2</v>
      </c>
      <c r="G2570" s="170">
        <f>F2570/D2570</f>
        <v>1.2144399482298203</v>
      </c>
      <c r="H2570" s="155">
        <f>F2570/E2570</f>
        <v>1.4825343493130136</v>
      </c>
      <c r="I2570" s="155">
        <f>SUM(I2566:I2569)</f>
        <v>1</v>
      </c>
      <c r="K2570"/>
      <c r="L2570"/>
      <c r="M2570"/>
      <c r="N2570"/>
      <c r="O2570"/>
    </row>
    <row r="2571" spans="1:15" s="17" customFormat="1" ht="16.5" customHeight="1" x14ac:dyDescent="0.25">
      <c r="A2571" s="21"/>
      <c r="B2571" s="21"/>
      <c r="C2571" s="21"/>
      <c r="D2571" s="21"/>
      <c r="E2571" s="21"/>
      <c r="F2571" s="21"/>
      <c r="G2571" s="21"/>
      <c r="H2571" s="21"/>
      <c r="I2571" s="21"/>
      <c r="K2571"/>
      <c r="L2571"/>
      <c r="M2571"/>
      <c r="N2571"/>
      <c r="O2571"/>
    </row>
    <row r="2572" spans="1:15" s="17" customFormat="1" ht="16.5" customHeight="1" x14ac:dyDescent="0.25">
      <c r="A2572" s="21"/>
      <c r="B2572" s="603" t="s">
        <v>371</v>
      </c>
      <c r="C2572" s="603"/>
      <c r="D2572" s="603"/>
      <c r="E2572" s="603"/>
      <c r="F2572" s="603"/>
      <c r="G2572" s="603"/>
      <c r="H2572" s="603"/>
      <c r="I2572" s="603"/>
      <c r="K2572"/>
      <c r="L2572"/>
      <c r="M2572"/>
      <c r="N2572"/>
      <c r="O2572"/>
    </row>
    <row r="2573" spans="1:15" s="17" customFormat="1" ht="16.5" customHeight="1" x14ac:dyDescent="0.25">
      <c r="A2573" s="21"/>
      <c r="B2573" s="21"/>
      <c r="C2573" s="21"/>
      <c r="D2573" s="260" t="s">
        <v>84</v>
      </c>
      <c r="E2573" s="350"/>
      <c r="F2573" s="350"/>
      <c r="G2573" s="21"/>
      <c r="H2573" s="21"/>
      <c r="I2573" s="21"/>
      <c r="K2573"/>
      <c r="L2573"/>
      <c r="M2573" s="464"/>
      <c r="N2573"/>
      <c r="O2573"/>
    </row>
    <row r="2574" spans="1:15" s="17" customFormat="1" ht="12" customHeight="1" x14ac:dyDescent="0.25">
      <c r="A2574" s="20"/>
      <c r="B2574" s="20" t="s">
        <v>372</v>
      </c>
      <c r="C2574" s="20"/>
      <c r="D2574" s="351">
        <v>18290</v>
      </c>
      <c r="E2574" s="352">
        <f>D2574/D2579</f>
        <v>0.24673471094671126</v>
      </c>
      <c r="F2574" s="20"/>
      <c r="G2574" s="20"/>
      <c r="H2574" s="20"/>
      <c r="I2574" s="280"/>
      <c r="K2574"/>
      <c r="L2574"/>
      <c r="M2574"/>
      <c r="N2574"/>
      <c r="O2574"/>
    </row>
    <row r="2575" spans="1:15" s="17" customFormat="1" ht="16.5" customHeight="1" x14ac:dyDescent="0.25">
      <c r="A2575" s="20"/>
      <c r="B2575" s="20" t="s">
        <v>373</v>
      </c>
      <c r="C2575" s="20"/>
      <c r="D2575" s="351">
        <v>30710.2</v>
      </c>
      <c r="E2575" s="352">
        <f>D2575/D2579</f>
        <v>0.41428498196367919</v>
      </c>
      <c r="F2575" s="20"/>
      <c r="G2575" s="20"/>
      <c r="H2575" s="20"/>
      <c r="I2575" s="280"/>
      <c r="K2575"/>
      <c r="L2575"/>
      <c r="M2575"/>
      <c r="N2575"/>
      <c r="O2575"/>
    </row>
    <row r="2576" spans="1:15" s="17" customFormat="1" ht="12" customHeight="1" x14ac:dyDescent="0.25">
      <c r="A2576" s="20"/>
      <c r="B2576" s="20" t="s">
        <v>456</v>
      </c>
      <c r="C2576" s="20"/>
      <c r="D2576" s="351">
        <v>50</v>
      </c>
      <c r="E2576" s="352">
        <f>D2576/D2579</f>
        <v>6.7450713763453048E-4</v>
      </c>
      <c r="F2576" s="20"/>
      <c r="G2576" s="20"/>
      <c r="H2576" s="20"/>
      <c r="I2576" s="280"/>
      <c r="K2576"/>
      <c r="L2576"/>
      <c r="M2576"/>
      <c r="N2576"/>
      <c r="O2576"/>
    </row>
    <row r="2577" spans="1:19" s="17" customFormat="1" ht="16.5" customHeight="1" x14ac:dyDescent="0.25">
      <c r="A2577" s="20"/>
      <c r="B2577" s="20" t="s">
        <v>457</v>
      </c>
      <c r="C2577" s="20"/>
      <c r="D2577" s="351">
        <v>0</v>
      </c>
      <c r="E2577" s="352">
        <f>D2577/D2579</f>
        <v>0</v>
      </c>
      <c r="F2577" s="20"/>
      <c r="G2577" s="20"/>
      <c r="H2577" s="20"/>
      <c r="I2577" s="280"/>
      <c r="K2577"/>
      <c r="L2577"/>
      <c r="M2577"/>
      <c r="N2577"/>
      <c r="O2577"/>
    </row>
    <row r="2578" spans="1:19" s="17" customFormat="1" ht="16.5" customHeight="1" x14ac:dyDescent="0.25">
      <c r="A2578" s="20"/>
      <c r="B2578" s="20" t="s">
        <v>507</v>
      </c>
      <c r="C2578" s="20"/>
      <c r="D2578" s="351">
        <v>25078</v>
      </c>
      <c r="E2578" s="352"/>
      <c r="F2578" s="20"/>
      <c r="G2578" s="20"/>
      <c r="H2578" s="20"/>
      <c r="I2578" s="280"/>
      <c r="K2578"/>
      <c r="L2578"/>
      <c r="M2578"/>
      <c r="N2578"/>
      <c r="O2578"/>
      <c r="P2578"/>
      <c r="Q2578"/>
      <c r="R2578"/>
      <c r="S2578"/>
    </row>
    <row r="2579" spans="1:19" s="17" customFormat="1" ht="16.5" customHeight="1" x14ac:dyDescent="0.25">
      <c r="A2579" s="21"/>
      <c r="B2579" s="353" t="s">
        <v>374</v>
      </c>
      <c r="C2579" s="156"/>
      <c r="D2579" s="478">
        <f>D2574+D2575+D2576+D2577+D2578</f>
        <v>74128.2</v>
      </c>
      <c r="E2579" s="354">
        <f>E2574+E2575+E2576+E2577</f>
        <v>0.66169420004802493</v>
      </c>
      <c r="F2579" s="21"/>
      <c r="G2579" s="21"/>
      <c r="H2579" s="21"/>
      <c r="I2579" s="280"/>
      <c r="K2579"/>
      <c r="L2579"/>
      <c r="M2579"/>
      <c r="N2579"/>
      <c r="O2579"/>
      <c r="P2579"/>
      <c r="Q2579"/>
      <c r="R2579"/>
      <c r="S2579"/>
    </row>
    <row r="2580" spans="1:19" s="17" customFormat="1" ht="16.5" customHeight="1" x14ac:dyDescent="0.25">
      <c r="A2580" s="276"/>
      <c r="B2580" s="276"/>
      <c r="C2580" s="276"/>
      <c r="D2580" s="276"/>
      <c r="E2580" s="276"/>
      <c r="K2580"/>
      <c r="L2580"/>
      <c r="M2580"/>
      <c r="N2580"/>
      <c r="O2580"/>
      <c r="P2580"/>
      <c r="Q2580"/>
      <c r="R2580"/>
      <c r="S2580"/>
    </row>
    <row r="2581" spans="1:19" s="17" customFormat="1" ht="16.5" customHeight="1" x14ac:dyDescent="0.25">
      <c r="B2581" s="304" t="s">
        <v>492</v>
      </c>
      <c r="C2581" s="304"/>
      <c r="D2581" s="304"/>
      <c r="K2581"/>
      <c r="L2581"/>
      <c r="M2581"/>
      <c r="N2581"/>
      <c r="O2581"/>
      <c r="P2581"/>
      <c r="Q2581"/>
      <c r="R2581"/>
      <c r="S2581"/>
    </row>
    <row r="2582" spans="1:19" s="17" customFormat="1" ht="16.5" customHeight="1" x14ac:dyDescent="0.25">
      <c r="A2582" s="145"/>
      <c r="B2582" s="145"/>
      <c r="C2582" s="145"/>
      <c r="D2582" s="145"/>
      <c r="E2582" s="605" t="s">
        <v>84</v>
      </c>
      <c r="K2582"/>
      <c r="L2582"/>
      <c r="M2582"/>
      <c r="N2582"/>
      <c r="O2582"/>
      <c r="P2582"/>
      <c r="Q2582"/>
      <c r="R2582"/>
      <c r="S2582"/>
    </row>
    <row r="2583" spans="1:19" s="17" customFormat="1" ht="12" customHeight="1" x14ac:dyDescent="0.25">
      <c r="A2583" s="224"/>
      <c r="B2583" s="247"/>
      <c r="C2583" s="15"/>
      <c r="D2583" s="156"/>
      <c r="E2583" s="605"/>
      <c r="F2583" s="156"/>
      <c r="G2583" s="224"/>
      <c r="H2583" s="156"/>
      <c r="I2583" s="156"/>
      <c r="K2583"/>
      <c r="L2583"/>
      <c r="M2583"/>
      <c r="N2583"/>
      <c r="O2583"/>
      <c r="P2583"/>
      <c r="Q2583"/>
      <c r="R2583"/>
      <c r="S2583"/>
    </row>
    <row r="2584" spans="1:19" s="17" customFormat="1" ht="16.5" customHeight="1" x14ac:dyDescent="0.25">
      <c r="A2584" s="192" t="s">
        <v>48</v>
      </c>
      <c r="B2584" s="615" t="s">
        <v>49</v>
      </c>
      <c r="C2584" s="616"/>
      <c r="D2584" s="411" t="s">
        <v>85</v>
      </c>
      <c r="E2584" s="409" t="s">
        <v>152</v>
      </c>
      <c r="F2584" s="42" t="s">
        <v>86</v>
      </c>
      <c r="G2584" s="619" t="s">
        <v>52</v>
      </c>
      <c r="H2584" s="620"/>
      <c r="I2584" s="613" t="s">
        <v>53</v>
      </c>
      <c r="K2584"/>
      <c r="L2584"/>
      <c r="M2584"/>
      <c r="N2584"/>
      <c r="O2584"/>
      <c r="P2584"/>
      <c r="Q2584"/>
      <c r="R2584"/>
      <c r="S2584"/>
    </row>
    <row r="2585" spans="1:19" s="17" customFormat="1" ht="12" customHeight="1" x14ac:dyDescent="0.25">
      <c r="A2585" s="193" t="s">
        <v>87</v>
      </c>
      <c r="B2585" s="617"/>
      <c r="C2585" s="618"/>
      <c r="D2585" s="412" t="s">
        <v>537</v>
      </c>
      <c r="E2585" s="44" t="s">
        <v>571</v>
      </c>
      <c r="F2585" s="44" t="s">
        <v>571</v>
      </c>
      <c r="G2585" s="29" t="s">
        <v>55</v>
      </c>
      <c r="H2585" s="29" t="s">
        <v>56</v>
      </c>
      <c r="I2585" s="614"/>
      <c r="K2585"/>
      <c r="L2585"/>
      <c r="M2585"/>
      <c r="N2585"/>
      <c r="O2585"/>
      <c r="P2585"/>
      <c r="Q2585"/>
      <c r="R2585"/>
      <c r="S2585"/>
    </row>
    <row r="2586" spans="1:19" s="17" customFormat="1" ht="12" customHeight="1" x14ac:dyDescent="0.25">
      <c r="A2586" s="164">
        <v>1</v>
      </c>
      <c r="B2586" s="717">
        <v>2</v>
      </c>
      <c r="C2586" s="718"/>
      <c r="D2586" s="147">
        <v>3</v>
      </c>
      <c r="E2586" s="147">
        <v>4</v>
      </c>
      <c r="F2586" s="147">
        <v>5</v>
      </c>
      <c r="G2586" s="147">
        <v>6</v>
      </c>
      <c r="H2586" s="147">
        <v>7</v>
      </c>
      <c r="I2586" s="164">
        <v>8</v>
      </c>
      <c r="K2586"/>
      <c r="L2586"/>
      <c r="M2586"/>
      <c r="N2586"/>
      <c r="O2586"/>
      <c r="P2586"/>
      <c r="Q2586"/>
      <c r="R2586"/>
      <c r="S2586"/>
    </row>
    <row r="2587" spans="1:19" s="17" customFormat="1" ht="16.5" customHeight="1" x14ac:dyDescent="0.25">
      <c r="A2587" s="86">
        <v>111</v>
      </c>
      <c r="B2587" s="601" t="s">
        <v>184</v>
      </c>
      <c r="C2587" s="602"/>
      <c r="D2587" s="6">
        <f>D645</f>
        <v>4070414.92</v>
      </c>
      <c r="E2587" s="6">
        <f>E645</f>
        <v>3364509.23</v>
      </c>
      <c r="F2587" s="6">
        <f>F645</f>
        <v>3363896.18</v>
      </c>
      <c r="G2587" s="91">
        <f t="shared" ref="G2587:G2592" si="158">F2587/D2587</f>
        <v>0.82642586716933519</v>
      </c>
      <c r="H2587" s="92">
        <f t="shared" ref="H2587:H2592" si="159">F2587/E2587</f>
        <v>0.99981778917574859</v>
      </c>
      <c r="I2587" s="92">
        <f>F2587/F2592</f>
        <v>0.84658337309323461</v>
      </c>
      <c r="K2587"/>
      <c r="L2587"/>
      <c r="M2587"/>
      <c r="N2587"/>
      <c r="O2587"/>
      <c r="P2587"/>
      <c r="Q2587"/>
      <c r="R2587"/>
      <c r="S2587"/>
    </row>
    <row r="2588" spans="1:19" s="17" customFormat="1" ht="16.5" customHeight="1" x14ac:dyDescent="0.25">
      <c r="A2588" s="86">
        <v>130</v>
      </c>
      <c r="B2588" s="601" t="s">
        <v>185</v>
      </c>
      <c r="C2588" s="602"/>
      <c r="D2588" s="6">
        <f>D871</f>
        <v>63099.040000000001</v>
      </c>
      <c r="E2588" s="6">
        <f>E871</f>
        <v>83766.62</v>
      </c>
      <c r="F2588" s="6">
        <f>F871</f>
        <v>72921.09</v>
      </c>
      <c r="G2588" s="91">
        <f t="shared" si="158"/>
        <v>1.1556608468211242</v>
      </c>
      <c r="H2588" s="92">
        <f t="shared" si="159"/>
        <v>0.87052682798947845</v>
      </c>
      <c r="I2588" s="92">
        <f>F2588/F2592</f>
        <v>1.8351869094198777E-2</v>
      </c>
      <c r="K2588"/>
      <c r="L2588"/>
      <c r="M2588"/>
      <c r="N2588"/>
      <c r="O2588"/>
      <c r="P2588"/>
      <c r="Q2588"/>
      <c r="R2588"/>
      <c r="S2588"/>
    </row>
    <row r="2589" spans="1:19" s="17" customFormat="1" ht="12" customHeight="1" x14ac:dyDescent="0.25">
      <c r="A2589" s="86">
        <v>132</v>
      </c>
      <c r="B2589" s="601" t="s">
        <v>186</v>
      </c>
      <c r="C2589" s="602"/>
      <c r="D2589" s="6">
        <f>D978</f>
        <v>0</v>
      </c>
      <c r="E2589" s="6">
        <f>E978</f>
        <v>0</v>
      </c>
      <c r="F2589" s="6">
        <f>F978</f>
        <v>0</v>
      </c>
      <c r="G2589" s="91" t="e">
        <f t="shared" si="158"/>
        <v>#DIV/0!</v>
      </c>
      <c r="H2589" s="92" t="e">
        <f t="shared" si="159"/>
        <v>#DIV/0!</v>
      </c>
      <c r="I2589" s="92">
        <f>F2589/F2592</f>
        <v>0</v>
      </c>
      <c r="K2589"/>
      <c r="L2589"/>
      <c r="M2589"/>
      <c r="N2589"/>
      <c r="O2589"/>
      <c r="P2589"/>
      <c r="Q2589"/>
      <c r="R2589"/>
      <c r="S2589"/>
    </row>
    <row r="2590" spans="1:19" s="17" customFormat="1" ht="16.5" customHeight="1" x14ac:dyDescent="0.25">
      <c r="A2590" s="86">
        <v>200</v>
      </c>
      <c r="B2590" s="601" t="s">
        <v>187</v>
      </c>
      <c r="C2590" s="602"/>
      <c r="D2590" s="6">
        <f>D1090</f>
        <v>0</v>
      </c>
      <c r="E2590" s="6">
        <f>E1090</f>
        <v>0</v>
      </c>
      <c r="F2590" s="6">
        <f>F1090</f>
        <v>0</v>
      </c>
      <c r="G2590" s="91" t="e">
        <f t="shared" si="158"/>
        <v>#DIV/0!</v>
      </c>
      <c r="H2590" s="92" t="e">
        <f t="shared" si="159"/>
        <v>#DIV/0!</v>
      </c>
      <c r="I2590" s="92">
        <f>F2590/F2592</f>
        <v>0</v>
      </c>
      <c r="K2590"/>
      <c r="L2590"/>
      <c r="M2590"/>
      <c r="N2590"/>
      <c r="O2590"/>
      <c r="P2590"/>
      <c r="Q2590"/>
      <c r="R2590"/>
      <c r="S2590"/>
    </row>
    <row r="2591" spans="1:19" s="17" customFormat="1" ht="16.5" customHeight="1" x14ac:dyDescent="0.25">
      <c r="A2591" s="86">
        <v>300</v>
      </c>
      <c r="B2591" s="601" t="s">
        <v>188</v>
      </c>
      <c r="C2591" s="602"/>
      <c r="D2591" s="6">
        <f>D1200</f>
        <v>209943.04000000001</v>
      </c>
      <c r="E2591" s="6">
        <f t="shared" ref="E2591:F2591" si="160">E1200</f>
        <v>536680</v>
      </c>
      <c r="F2591" s="6">
        <f t="shared" si="160"/>
        <v>536679.36</v>
      </c>
      <c r="G2591" s="91">
        <f t="shared" si="158"/>
        <v>2.5563093684839466</v>
      </c>
      <c r="H2591" s="92">
        <f t="shared" si="159"/>
        <v>0.99999880748304393</v>
      </c>
      <c r="I2591" s="92">
        <f>F2591/F2592</f>
        <v>0.13506475781256672</v>
      </c>
      <c r="K2591"/>
      <c r="L2591"/>
      <c r="M2591"/>
      <c r="N2591"/>
      <c r="O2591"/>
      <c r="P2591"/>
      <c r="Q2591"/>
      <c r="R2591"/>
      <c r="S2591"/>
    </row>
    <row r="2592" spans="1:19" s="17" customFormat="1" ht="16.5" customHeight="1" x14ac:dyDescent="0.25">
      <c r="A2592" s="168"/>
      <c r="B2592" s="342" t="s">
        <v>83</v>
      </c>
      <c r="C2592" s="343"/>
      <c r="D2592" s="509">
        <f>D2587+D2588+D2589+D2590+D2591</f>
        <v>4343457</v>
      </c>
      <c r="E2592" s="509">
        <f>E2587+E2588+E2589+E2590+E2591</f>
        <v>3984955.85</v>
      </c>
      <c r="F2592" s="414">
        <f>F2587+F2588+F2589+F2590+F2591</f>
        <v>3973496.63</v>
      </c>
      <c r="G2592" s="200">
        <f t="shared" si="158"/>
        <v>0.91482352190893101</v>
      </c>
      <c r="H2592" s="155">
        <f t="shared" si="159"/>
        <v>0.99712437968415635</v>
      </c>
      <c r="I2592" s="155">
        <f>SUM(I2587:I2591)</f>
        <v>1</v>
      </c>
      <c r="K2592"/>
      <c r="L2592"/>
      <c r="M2592"/>
      <c r="N2592"/>
      <c r="O2592"/>
      <c r="P2592"/>
      <c r="Q2592"/>
      <c r="R2592"/>
      <c r="S2592"/>
    </row>
    <row r="2593" spans="1:19" s="17" customFormat="1" ht="16.5" customHeight="1" x14ac:dyDescent="0.25">
      <c r="A2593" s="295"/>
      <c r="B2593" s="295"/>
      <c r="C2593" s="335"/>
      <c r="D2593" s="295"/>
      <c r="E2593" s="295"/>
      <c r="F2593" s="295"/>
      <c r="G2593" s="156"/>
      <c r="H2593" s="20"/>
      <c r="I2593" s="315"/>
      <c r="K2593"/>
      <c r="L2593"/>
      <c r="M2593"/>
      <c r="N2593"/>
      <c r="O2593"/>
      <c r="P2593"/>
      <c r="Q2593"/>
      <c r="R2593"/>
      <c r="S2593"/>
    </row>
    <row r="2594" spans="1:19" s="17" customFormat="1" ht="16.5" customHeight="1" x14ac:dyDescent="0.25">
      <c r="A2594" s="295"/>
      <c r="B2594" s="295"/>
      <c r="C2594" s="335"/>
      <c r="D2594" s="295"/>
      <c r="E2594" s="295"/>
      <c r="F2594" s="295"/>
      <c r="G2594" s="156"/>
      <c r="H2594" s="20"/>
      <c r="I2594" s="315"/>
      <c r="K2594"/>
      <c r="L2594"/>
      <c r="M2594"/>
      <c r="N2594"/>
      <c r="O2594"/>
      <c r="P2594"/>
      <c r="Q2594"/>
      <c r="R2594"/>
      <c r="S2594"/>
    </row>
    <row r="2595" spans="1:19" s="17" customFormat="1" ht="16.5" customHeight="1" x14ac:dyDescent="0.25">
      <c r="A2595" s="303"/>
      <c r="B2595" s="627" t="s">
        <v>995</v>
      </c>
      <c r="C2595" s="627"/>
      <c r="D2595" s="627"/>
      <c r="E2595" s="627"/>
      <c r="F2595" s="627"/>
      <c r="G2595" s="627"/>
      <c r="H2595" s="627"/>
      <c r="I2595" s="627"/>
      <c r="K2595"/>
      <c r="L2595"/>
      <c r="M2595"/>
      <c r="N2595"/>
      <c r="O2595"/>
      <c r="P2595"/>
      <c r="Q2595"/>
      <c r="R2595"/>
      <c r="S2595"/>
    </row>
    <row r="2596" spans="1:19" s="17" customFormat="1" ht="16.5" customHeight="1" x14ac:dyDescent="0.25">
      <c r="A2596" s="627" t="s">
        <v>1098</v>
      </c>
      <c r="B2596" s="627"/>
      <c r="C2596" s="627"/>
      <c r="D2596" s="627"/>
      <c r="E2596" s="627"/>
      <c r="F2596" s="627"/>
      <c r="G2596" s="627"/>
      <c r="H2596" s="627"/>
      <c r="I2596" s="627"/>
      <c r="K2596"/>
      <c r="L2596"/>
      <c r="M2596"/>
      <c r="N2596"/>
      <c r="O2596"/>
      <c r="P2596"/>
      <c r="Q2596"/>
      <c r="R2596"/>
      <c r="S2596"/>
    </row>
    <row r="2597" spans="1:19" s="17" customFormat="1" ht="16.5" customHeight="1" x14ac:dyDescent="0.25">
      <c r="A2597" s="156" t="s">
        <v>996</v>
      </c>
      <c r="B2597" s="156"/>
      <c r="C2597" s="156"/>
      <c r="D2597" s="156"/>
      <c r="E2597" s="156"/>
      <c r="F2597" s="156"/>
      <c r="G2597" s="156"/>
      <c r="H2597" s="156"/>
      <c r="I2597" s="156"/>
      <c r="K2597"/>
      <c r="L2597"/>
      <c r="M2597"/>
      <c r="N2597"/>
      <c r="O2597"/>
      <c r="P2597"/>
      <c r="Q2597"/>
      <c r="R2597"/>
      <c r="S2597"/>
    </row>
    <row r="2598" spans="1:19" s="17" customFormat="1" ht="16.5" customHeight="1" x14ac:dyDescent="0.25">
      <c r="A2598" s="621" t="s">
        <v>997</v>
      </c>
      <c r="B2598" s="621"/>
      <c r="C2598" s="621"/>
      <c r="D2598" s="621"/>
      <c r="E2598" s="621"/>
      <c r="F2598" s="621"/>
      <c r="G2598" s="621"/>
      <c r="H2598" s="621"/>
      <c r="I2598" s="621"/>
      <c r="K2598"/>
      <c r="L2598"/>
      <c r="M2598"/>
      <c r="N2598"/>
      <c r="O2598"/>
      <c r="P2598"/>
      <c r="Q2598"/>
      <c r="R2598"/>
      <c r="S2598"/>
    </row>
    <row r="2599" spans="1:19" s="17" customFormat="1" ht="16.5" customHeight="1" x14ac:dyDescent="0.25">
      <c r="A2599" s="621" t="s">
        <v>998</v>
      </c>
      <c r="B2599" s="621"/>
      <c r="C2599" s="621"/>
      <c r="D2599" s="621"/>
      <c r="E2599" s="621"/>
      <c r="F2599" s="621"/>
      <c r="G2599" s="621"/>
      <c r="H2599" s="621"/>
      <c r="I2599" s="621"/>
      <c r="K2599"/>
      <c r="L2599"/>
      <c r="M2599"/>
      <c r="N2599"/>
      <c r="O2599"/>
      <c r="P2599"/>
      <c r="Q2599"/>
      <c r="R2599"/>
      <c r="S2599"/>
    </row>
    <row r="2600" spans="1:19" s="17" customFormat="1" ht="16.5" customHeight="1" x14ac:dyDescent="0.25">
      <c r="A2600" s="621" t="s">
        <v>999</v>
      </c>
      <c r="B2600" s="621"/>
      <c r="C2600" s="621"/>
      <c r="D2600" s="621"/>
      <c r="E2600" s="621"/>
      <c r="F2600" s="621"/>
      <c r="G2600" s="621"/>
      <c r="H2600" s="621"/>
      <c r="I2600" s="621"/>
      <c r="K2600"/>
      <c r="L2600"/>
      <c r="M2600"/>
      <c r="N2600"/>
      <c r="O2600"/>
      <c r="P2600"/>
      <c r="Q2600"/>
      <c r="R2600"/>
      <c r="S2600"/>
    </row>
    <row r="2601" spans="1:19" s="17" customFormat="1" ht="16.5" customHeight="1" x14ac:dyDescent="0.25">
      <c r="A2601" s="621" t="s">
        <v>1000</v>
      </c>
      <c r="B2601" s="621"/>
      <c r="C2601" s="621"/>
      <c r="D2601" s="621"/>
      <c r="E2601" s="621"/>
      <c r="F2601" s="621"/>
      <c r="G2601" s="621"/>
      <c r="H2601" s="621"/>
      <c r="I2601" s="621"/>
      <c r="K2601"/>
      <c r="L2601"/>
      <c r="M2601"/>
      <c r="N2601"/>
      <c r="O2601"/>
      <c r="P2601"/>
      <c r="Q2601"/>
      <c r="R2601"/>
      <c r="S2601"/>
    </row>
    <row r="2602" spans="1:19" s="17" customFormat="1" ht="16.5" customHeight="1" x14ac:dyDescent="0.25">
      <c r="A2602" s="621" t="s">
        <v>1099</v>
      </c>
      <c r="B2602" s="621"/>
      <c r="C2602" s="621"/>
      <c r="D2602" s="621"/>
      <c r="E2602" s="621"/>
      <c r="F2602" s="621"/>
      <c r="G2602" s="621"/>
      <c r="H2602" s="621"/>
      <c r="I2602" s="621"/>
      <c r="K2602"/>
      <c r="L2602"/>
      <c r="M2602"/>
      <c r="N2602"/>
      <c r="O2602"/>
      <c r="P2602"/>
      <c r="Q2602"/>
      <c r="R2602"/>
      <c r="S2602"/>
    </row>
    <row r="2603" spans="1:19" s="17" customFormat="1" ht="16.5" customHeight="1" x14ac:dyDescent="0.25">
      <c r="A2603" s="145"/>
      <c r="B2603" s="145" t="s">
        <v>1001</v>
      </c>
      <c r="C2603" s="145"/>
      <c r="D2603" s="145"/>
      <c r="E2603" s="145"/>
      <c r="F2603" s="145"/>
      <c r="G2603" s="145"/>
      <c r="H2603" s="145"/>
      <c r="I2603" s="145"/>
      <c r="K2603"/>
      <c r="L2603"/>
      <c r="M2603"/>
      <c r="N2603"/>
      <c r="O2603"/>
      <c r="P2603"/>
      <c r="Q2603"/>
      <c r="R2603"/>
      <c r="S2603"/>
    </row>
    <row r="2604" spans="1:19" s="17" customFormat="1" ht="16.5" customHeight="1" x14ac:dyDescent="0.25">
      <c r="A2604" s="145" t="s">
        <v>1002</v>
      </c>
      <c r="B2604" s="145"/>
      <c r="C2604" s="145"/>
      <c r="D2604" s="145"/>
      <c r="E2604" s="145"/>
      <c r="F2604" s="145"/>
      <c r="G2604" s="145"/>
      <c r="H2604" s="145"/>
      <c r="I2604" s="145"/>
      <c r="K2604"/>
      <c r="L2604"/>
      <c r="M2604"/>
      <c r="N2604"/>
      <c r="O2604"/>
      <c r="P2604"/>
      <c r="Q2604"/>
      <c r="R2604"/>
      <c r="S2604"/>
    </row>
    <row r="2606" spans="1:19" s="17" customFormat="1" ht="16.5" customHeight="1" x14ac:dyDescent="0.25">
      <c r="A2606" s="145"/>
      <c r="B2606" s="145"/>
      <c r="C2606" s="145"/>
      <c r="D2606" s="145"/>
      <c r="E2606" s="145"/>
      <c r="F2606" s="145"/>
      <c r="G2606" s="145"/>
      <c r="H2606" s="145"/>
      <c r="I2606" s="145"/>
      <c r="K2606"/>
      <c r="L2606"/>
      <c r="M2606"/>
      <c r="N2606"/>
      <c r="O2606"/>
      <c r="P2606"/>
      <c r="Q2606"/>
      <c r="R2606"/>
      <c r="S2606"/>
    </row>
    <row r="2607" spans="1:19" s="17" customFormat="1" ht="16.5" customHeight="1" x14ac:dyDescent="0.25">
      <c r="A2607" s="145"/>
      <c r="B2607" s="145"/>
      <c r="C2607" s="145"/>
      <c r="D2607" s="145"/>
      <c r="E2607" s="145"/>
      <c r="F2607" s="145"/>
      <c r="G2607" s="145"/>
      <c r="H2607" s="145"/>
      <c r="I2607" s="145"/>
      <c r="K2607"/>
      <c r="L2607"/>
      <c r="M2607"/>
      <c r="N2607"/>
      <c r="O2607"/>
      <c r="P2607"/>
      <c r="Q2607"/>
      <c r="R2607"/>
      <c r="S2607"/>
    </row>
    <row r="2608" spans="1:19" s="17" customFormat="1" ht="16.5" customHeight="1" x14ac:dyDescent="0.25">
      <c r="A2608" s="145"/>
      <c r="B2608" s="145"/>
      <c r="C2608" s="145"/>
      <c r="D2608" s="145"/>
      <c r="E2608" s="145"/>
      <c r="F2608" s="145"/>
      <c r="G2608" s="145"/>
      <c r="H2608" s="145"/>
      <c r="I2608" s="145"/>
      <c r="K2608"/>
      <c r="L2608"/>
      <c r="M2608"/>
      <c r="N2608"/>
      <c r="O2608"/>
      <c r="P2608"/>
      <c r="Q2608"/>
      <c r="R2608"/>
      <c r="S2608"/>
    </row>
    <row r="2609" spans="1:19" s="17" customFormat="1" ht="16.5" customHeight="1" x14ac:dyDescent="0.25">
      <c r="A2609" s="145"/>
      <c r="B2609" s="145"/>
      <c r="C2609" s="145"/>
      <c r="D2609" s="145"/>
      <c r="E2609" s="145"/>
      <c r="F2609" s="145"/>
      <c r="G2609" s="145"/>
      <c r="H2609" s="145"/>
      <c r="I2609" s="145"/>
      <c r="K2609"/>
      <c r="L2609"/>
      <c r="M2609"/>
      <c r="N2609"/>
      <c r="O2609"/>
      <c r="P2609"/>
      <c r="Q2609"/>
      <c r="R2609"/>
      <c r="S2609"/>
    </row>
    <row r="2610" spans="1:19" s="17" customFormat="1" ht="16.5" customHeight="1" x14ac:dyDescent="0.25">
      <c r="A2610" s="145"/>
      <c r="B2610" s="145"/>
      <c r="C2610" s="145"/>
      <c r="D2610" s="145"/>
      <c r="E2610" s="145"/>
      <c r="F2610" s="145"/>
      <c r="G2610" s="145"/>
      <c r="H2610" s="145"/>
      <c r="I2610" s="145"/>
      <c r="K2610"/>
      <c r="L2610"/>
      <c r="M2610"/>
      <c r="N2610"/>
      <c r="O2610"/>
      <c r="P2610"/>
      <c r="Q2610"/>
      <c r="R2610"/>
      <c r="S2610"/>
    </row>
    <row r="2611" spans="1:19" s="17" customFormat="1" ht="16.5" customHeight="1" x14ac:dyDescent="0.25">
      <c r="A2611" s="145"/>
      <c r="B2611" s="145"/>
      <c r="C2611" s="145"/>
      <c r="D2611" s="145"/>
      <c r="E2611" s="145"/>
      <c r="F2611" s="145"/>
      <c r="G2611" s="145"/>
      <c r="H2611" s="145"/>
      <c r="I2611" s="145"/>
      <c r="K2611"/>
      <c r="L2611"/>
      <c r="M2611"/>
      <c r="N2611"/>
      <c r="O2611"/>
      <c r="P2611"/>
      <c r="Q2611"/>
      <c r="R2611"/>
      <c r="S2611"/>
    </row>
    <row r="2612" spans="1:19" s="17" customFormat="1" ht="16.5" customHeight="1" x14ac:dyDescent="0.25">
      <c r="A2612" s="145"/>
      <c r="B2612" s="145"/>
      <c r="C2612" s="145"/>
      <c r="D2612" s="145"/>
      <c r="E2612" s="145"/>
      <c r="F2612" s="145"/>
      <c r="G2612" s="145"/>
      <c r="H2612" s="145"/>
      <c r="I2612" s="257">
        <v>46</v>
      </c>
      <c r="K2612"/>
      <c r="L2612"/>
      <c r="M2612"/>
      <c r="N2612"/>
      <c r="O2612"/>
      <c r="P2612"/>
      <c r="Q2612"/>
      <c r="R2612"/>
      <c r="S2612"/>
    </row>
    <row r="2613" spans="1:19" s="17" customFormat="1" ht="16.5" customHeight="1" x14ac:dyDescent="0.25">
      <c r="A2613"/>
      <c r="B2613"/>
      <c r="C2613"/>
      <c r="D2613"/>
      <c r="E2613"/>
      <c r="F2613"/>
      <c r="G2613"/>
      <c r="H2613"/>
      <c r="I2613"/>
      <c r="K2613"/>
      <c r="L2613"/>
      <c r="M2613"/>
      <c r="N2613"/>
      <c r="O2613"/>
      <c r="P2613"/>
      <c r="Q2613"/>
      <c r="R2613"/>
      <c r="S2613"/>
    </row>
    <row r="2614" spans="1:19" s="17" customFormat="1" ht="16.5" customHeight="1" x14ac:dyDescent="0.25">
      <c r="B2614"/>
      <c r="C2614"/>
      <c r="D2614"/>
      <c r="E2614"/>
      <c r="F2614"/>
      <c r="G2614"/>
      <c r="H2614"/>
      <c r="I2614"/>
      <c r="J2614"/>
    </row>
    <row r="2615" spans="1:19" s="17" customFormat="1" ht="16.5" customHeight="1" x14ac:dyDescent="0.25">
      <c r="B2615"/>
      <c r="C2615"/>
      <c r="D2615"/>
      <c r="E2615"/>
      <c r="F2615"/>
      <c r="G2615"/>
      <c r="H2615"/>
      <c r="I2615"/>
      <c r="J2615"/>
    </row>
    <row r="2866" spans="2:8" x14ac:dyDescent="0.25">
      <c r="B2866" s="600"/>
      <c r="C2866" s="600"/>
      <c r="D2866" s="600"/>
      <c r="E2866" s="600"/>
      <c r="F2866" s="600"/>
      <c r="G2866" s="600"/>
      <c r="H2866" s="600"/>
    </row>
    <row r="2899" spans="2:8" x14ac:dyDescent="0.25">
      <c r="B2899" s="600"/>
      <c r="C2899" s="600"/>
      <c r="D2899" s="600"/>
      <c r="E2899" s="600"/>
      <c r="F2899" s="600"/>
      <c r="G2899" s="600"/>
      <c r="H2899" s="600"/>
    </row>
    <row r="2983" spans="2:8" x14ac:dyDescent="0.25">
      <c r="B2983" s="600"/>
      <c r="C2983" s="600"/>
      <c r="D2983" s="600"/>
      <c r="E2983" s="600"/>
      <c r="F2983" s="600"/>
      <c r="G2983" s="600"/>
      <c r="H2983" s="600"/>
    </row>
  </sheetData>
  <mergeCells count="1532">
    <mergeCell ref="B2866:H2866"/>
    <mergeCell ref="B1125:C1125"/>
    <mergeCell ref="B569:C569"/>
    <mergeCell ref="B723:C723"/>
    <mergeCell ref="B795:C795"/>
    <mergeCell ref="B1623:C1623"/>
    <mergeCell ref="B1677:C1677"/>
    <mergeCell ref="B2531:I2531"/>
    <mergeCell ref="B2292:C2292"/>
    <mergeCell ref="B2293:C2293"/>
    <mergeCell ref="B2296:C2296"/>
    <mergeCell ref="B1268:C1268"/>
    <mergeCell ref="A685:I685"/>
    <mergeCell ref="B751:C751"/>
    <mergeCell ref="A875:I875"/>
    <mergeCell ref="A2601:I2601"/>
    <mergeCell ref="A2602:I2602"/>
    <mergeCell ref="A2472:I2472"/>
    <mergeCell ref="A2473:I2473"/>
    <mergeCell ref="A2474:I2474"/>
    <mergeCell ref="A2475:I2475"/>
    <mergeCell ref="A2476:I2476"/>
    <mergeCell ref="B2461:C2461"/>
    <mergeCell ref="A2560:I2560"/>
    <mergeCell ref="E2561:E2562"/>
    <mergeCell ref="B2563:C2564"/>
    <mergeCell ref="G2563:H2563"/>
    <mergeCell ref="I2563:I2564"/>
    <mergeCell ref="A2532:I2532"/>
    <mergeCell ref="A2533:I2533"/>
    <mergeCell ref="A2534:I2534"/>
    <mergeCell ref="A2536:I2536"/>
    <mergeCell ref="A8:H8"/>
    <mergeCell ref="A11:H11"/>
    <mergeCell ref="A29:H29"/>
    <mergeCell ref="A30:H30"/>
    <mergeCell ref="A31:H31"/>
    <mergeCell ref="B2595:I2595"/>
    <mergeCell ref="A2596:I2596"/>
    <mergeCell ref="A2598:I2598"/>
    <mergeCell ref="A2599:I2599"/>
    <mergeCell ref="A2600:I2600"/>
    <mergeCell ref="B2586:C2586"/>
    <mergeCell ref="B2587:C2587"/>
    <mergeCell ref="B2588:C2588"/>
    <mergeCell ref="B2589:C2589"/>
    <mergeCell ref="B2590:C2590"/>
    <mergeCell ref="B2591:C2591"/>
    <mergeCell ref="B2565:C2565"/>
    <mergeCell ref="B2566:C2566"/>
    <mergeCell ref="B2570:C2570"/>
    <mergeCell ref="B2572:I2572"/>
    <mergeCell ref="E2582:E2583"/>
    <mergeCell ref="B2584:C2585"/>
    <mergeCell ref="G2584:H2584"/>
    <mergeCell ref="I2584:I2585"/>
    <mergeCell ref="B2557:C2557"/>
    <mergeCell ref="A2559:I2559"/>
    <mergeCell ref="B2501:C2501"/>
    <mergeCell ref="A2503:I2503"/>
    <mergeCell ref="E2504:E2505"/>
    <mergeCell ref="B2506:C2507"/>
    <mergeCell ref="G2506:H2506"/>
    <mergeCell ref="I2506:I2507"/>
    <mergeCell ref="B2524:C2524"/>
    <mergeCell ref="B2525:C2525"/>
    <mergeCell ref="B2526:C2526"/>
    <mergeCell ref="B2527:C2527"/>
    <mergeCell ref="A2530:I2530"/>
    <mergeCell ref="E2518:E2519"/>
    <mergeCell ref="B2520:C2521"/>
    <mergeCell ref="G2520:H2520"/>
    <mergeCell ref="I2520:I2521"/>
    <mergeCell ref="B2522:C2522"/>
    <mergeCell ref="B2523:C2523"/>
    <mergeCell ref="B2508:C2508"/>
    <mergeCell ref="B2509:C2509"/>
    <mergeCell ref="B2511:C2511"/>
    <mergeCell ref="B2512:C2512"/>
    <mergeCell ref="B2514:I2514"/>
    <mergeCell ref="A2517:I2517"/>
    <mergeCell ref="A2477:I2477"/>
    <mergeCell ref="B2462:C2462"/>
    <mergeCell ref="B2453:C2453"/>
    <mergeCell ref="B2454:C2454"/>
    <mergeCell ref="A2456:I2456"/>
    <mergeCell ref="E2447:E2448"/>
    <mergeCell ref="B2449:C2450"/>
    <mergeCell ref="G2449:H2449"/>
    <mergeCell ref="I2449:I2450"/>
    <mergeCell ref="B2451:C2451"/>
    <mergeCell ref="B2452:C2452"/>
    <mergeCell ref="A2412:I2412"/>
    <mergeCell ref="B2413:I2413"/>
    <mergeCell ref="B2443:E2443"/>
    <mergeCell ref="A2445:I2445"/>
    <mergeCell ref="A2446:I2446"/>
    <mergeCell ref="A2414:I2414"/>
    <mergeCell ref="B2463:C2463"/>
    <mergeCell ref="B2464:C2464"/>
    <mergeCell ref="B2465:C2465"/>
    <mergeCell ref="B2466:C2466"/>
    <mergeCell ref="B2470:I2470"/>
    <mergeCell ref="A2471:I2471"/>
    <mergeCell ref="E2457:E2458"/>
    <mergeCell ref="B2459:C2460"/>
    <mergeCell ref="G2459:H2459"/>
    <mergeCell ref="I2459:I2460"/>
    <mergeCell ref="A2406:I2406"/>
    <mergeCell ref="A2408:I2408"/>
    <mergeCell ref="A2409:I2409"/>
    <mergeCell ref="B2410:I2410"/>
    <mergeCell ref="A2411:I2411"/>
    <mergeCell ref="B2397:C2397"/>
    <mergeCell ref="B2398:C2398"/>
    <mergeCell ref="B2399:C2399"/>
    <mergeCell ref="B2400:C2400"/>
    <mergeCell ref="B2401:C2401"/>
    <mergeCell ref="B2402:C2402"/>
    <mergeCell ref="B2391:I2391"/>
    <mergeCell ref="A2392:I2392"/>
    <mergeCell ref="E2393:E2394"/>
    <mergeCell ref="B2395:C2396"/>
    <mergeCell ref="G2395:H2395"/>
    <mergeCell ref="I2395:I2396"/>
    <mergeCell ref="A2324:I2324"/>
    <mergeCell ref="A2325:I2325"/>
    <mergeCell ref="B2389:D2389"/>
    <mergeCell ref="A2318:I2318"/>
    <mergeCell ref="A2320:I2320"/>
    <mergeCell ref="A2321:I2321"/>
    <mergeCell ref="A2322:I2322"/>
    <mergeCell ref="A2323:I2323"/>
    <mergeCell ref="B2309:C2309"/>
    <mergeCell ref="B2310:C2310"/>
    <mergeCell ref="B2311:C2311"/>
    <mergeCell ref="B2312:C2312"/>
    <mergeCell ref="A2315:I2315"/>
    <mergeCell ref="A2316:I2316"/>
    <mergeCell ref="A2335:H2335"/>
    <mergeCell ref="D2338:F2338"/>
    <mergeCell ref="B2340:C2341"/>
    <mergeCell ref="B2342:C2342"/>
    <mergeCell ref="B2343:C2343"/>
    <mergeCell ref="B2344:C2344"/>
    <mergeCell ref="B2345:C2345"/>
    <mergeCell ref="B2346:C2346"/>
    <mergeCell ref="B2347:C2347"/>
    <mergeCell ref="A2350:I2350"/>
    <mergeCell ref="B2348:C2348"/>
    <mergeCell ref="G2340:H2340"/>
    <mergeCell ref="I2340:I2341"/>
    <mergeCell ref="E2303:E2304"/>
    <mergeCell ref="B2305:C2306"/>
    <mergeCell ref="G2305:H2305"/>
    <mergeCell ref="I2305:I2306"/>
    <mergeCell ref="B2307:C2307"/>
    <mergeCell ref="B2308:C2308"/>
    <mergeCell ref="B2288:C2288"/>
    <mergeCell ref="B2289:C2289"/>
    <mergeCell ref="B2290:C2290"/>
    <mergeCell ref="B2297:C2297"/>
    <mergeCell ref="B2299:I2299"/>
    <mergeCell ref="A2302:I2302"/>
    <mergeCell ref="A2282:I2282"/>
    <mergeCell ref="A2283:I2283"/>
    <mergeCell ref="E2284:E2285"/>
    <mergeCell ref="B2286:C2287"/>
    <mergeCell ref="G2286:H2286"/>
    <mergeCell ref="I2286:I2287"/>
    <mergeCell ref="B2300:I2300"/>
    <mergeCell ref="A2301:I2301"/>
    <mergeCell ref="A2245:I2245"/>
    <mergeCell ref="B2278:D2278"/>
    <mergeCell ref="A2280:I2280"/>
    <mergeCell ref="A2281:I2281"/>
    <mergeCell ref="A2239:I2239"/>
    <mergeCell ref="A2241:I2241"/>
    <mergeCell ref="A2242:I2242"/>
    <mergeCell ref="A2243:I2243"/>
    <mergeCell ref="A2244:I2244"/>
    <mergeCell ref="B2231:C2231"/>
    <mergeCell ref="B2232:C2232"/>
    <mergeCell ref="B2233:C2233"/>
    <mergeCell ref="B2234:C2234"/>
    <mergeCell ref="B2235:C2235"/>
    <mergeCell ref="A2238:I2238"/>
    <mergeCell ref="A2225:I2225"/>
    <mergeCell ref="E2226:E2227"/>
    <mergeCell ref="B2228:C2229"/>
    <mergeCell ref="G2228:H2228"/>
    <mergeCell ref="I2228:I2229"/>
    <mergeCell ref="B2230:C2230"/>
    <mergeCell ref="B2258:C2258"/>
    <mergeCell ref="B2259:C2259"/>
    <mergeCell ref="B2260:C2260"/>
    <mergeCell ref="B2261:C2261"/>
    <mergeCell ref="B2262:C2262"/>
    <mergeCell ref="B2256:C2257"/>
    <mergeCell ref="G2256:H2256"/>
    <mergeCell ref="I2256:I2257"/>
    <mergeCell ref="B2263:C2263"/>
    <mergeCell ref="A2201:I2201"/>
    <mergeCell ref="B2203:I2203"/>
    <mergeCell ref="A2204:I2204"/>
    <mergeCell ref="B2222:E2222"/>
    <mergeCell ref="A2224:I2224"/>
    <mergeCell ref="A2194:I2194"/>
    <mergeCell ref="A2195:I2195"/>
    <mergeCell ref="A2196:I2196"/>
    <mergeCell ref="A2199:I2199"/>
    <mergeCell ref="B2186:C2186"/>
    <mergeCell ref="B2187:C2187"/>
    <mergeCell ref="B2188:C2188"/>
    <mergeCell ref="B2189:C2189"/>
    <mergeCell ref="B2190:C2190"/>
    <mergeCell ref="B2193:I2193"/>
    <mergeCell ref="B2176:C2176"/>
    <mergeCell ref="A2178:I2178"/>
    <mergeCell ref="A2180:I2180"/>
    <mergeCell ref="E2181:E2182"/>
    <mergeCell ref="B2183:C2184"/>
    <mergeCell ref="G2183:H2183"/>
    <mergeCell ref="I2183:I2184"/>
    <mergeCell ref="E2169:E2170"/>
    <mergeCell ref="B2171:C2172"/>
    <mergeCell ref="G2171:H2171"/>
    <mergeCell ref="I2171:I2172"/>
    <mergeCell ref="B2174:C2174"/>
    <mergeCell ref="B2175:C2175"/>
    <mergeCell ref="A2128:I2128"/>
    <mergeCell ref="A2129:I2129"/>
    <mergeCell ref="A2130:I2130"/>
    <mergeCell ref="B2165:F2165"/>
    <mergeCell ref="A2167:I2167"/>
    <mergeCell ref="A2168:I2168"/>
    <mergeCell ref="B2120:C2120"/>
    <mergeCell ref="B2121:C2121"/>
    <mergeCell ref="B2122:C2122"/>
    <mergeCell ref="B2123:C2123"/>
    <mergeCell ref="A2127:I2127"/>
    <mergeCell ref="A2113:I2113"/>
    <mergeCell ref="B2116:C2117"/>
    <mergeCell ref="G2116:H2116"/>
    <mergeCell ref="I2116:I2117"/>
    <mergeCell ref="B2118:C2118"/>
    <mergeCell ref="B2119:C2119"/>
    <mergeCell ref="A2090:I2090"/>
    <mergeCell ref="A2091:I2091"/>
    <mergeCell ref="A2092:I2092"/>
    <mergeCell ref="A2094:I2094"/>
    <mergeCell ref="B2110:D2110"/>
    <mergeCell ref="A2112:I2112"/>
    <mergeCell ref="E2114:E2115"/>
    <mergeCell ref="B2084:C2084"/>
    <mergeCell ref="B2086:I2086"/>
    <mergeCell ref="A2087:I2087"/>
    <mergeCell ref="A2088:I2088"/>
    <mergeCell ref="A2089:I2089"/>
    <mergeCell ref="B2078:C2078"/>
    <mergeCell ref="B2079:C2079"/>
    <mergeCell ref="B2080:C2080"/>
    <mergeCell ref="B2081:C2081"/>
    <mergeCell ref="B2082:C2082"/>
    <mergeCell ref="B2083:C2083"/>
    <mergeCell ref="B2066:C2066"/>
    <mergeCell ref="A2068:I2068"/>
    <mergeCell ref="A2073:I2073"/>
    <mergeCell ref="E2074:E2075"/>
    <mergeCell ref="B2076:C2077"/>
    <mergeCell ref="G2076:H2076"/>
    <mergeCell ref="I2076:I2077"/>
    <mergeCell ref="B2069:I2069"/>
    <mergeCell ref="B2070:I2070"/>
    <mergeCell ref="A2071:I2071"/>
    <mergeCell ref="B2061:C2062"/>
    <mergeCell ref="G2061:H2061"/>
    <mergeCell ref="I2061:I2062"/>
    <mergeCell ref="B2063:C2063"/>
    <mergeCell ref="B2064:C2064"/>
    <mergeCell ref="B2065:C2065"/>
    <mergeCell ref="A2040:I2040"/>
    <mergeCell ref="A2041:I2041"/>
    <mergeCell ref="B2055:D2055"/>
    <mergeCell ref="A2057:I2057"/>
    <mergeCell ref="A2058:I2058"/>
    <mergeCell ref="E2059:E2060"/>
    <mergeCell ref="B2034:I2034"/>
    <mergeCell ref="A2035:I2035"/>
    <mergeCell ref="A2036:I2036"/>
    <mergeCell ref="A2037:I2037"/>
    <mergeCell ref="A2038:I2038"/>
    <mergeCell ref="A2039:I2039"/>
    <mergeCell ref="B2027:C2027"/>
    <mergeCell ref="B2028:C2028"/>
    <mergeCell ref="B2029:C2029"/>
    <mergeCell ref="B2030:C2030"/>
    <mergeCell ref="B2031:C2031"/>
    <mergeCell ref="B2032:C2032"/>
    <mergeCell ref="A2020:I2020"/>
    <mergeCell ref="A2021:I2021"/>
    <mergeCell ref="B2024:C2025"/>
    <mergeCell ref="G2024:H2024"/>
    <mergeCell ref="I2024:I2025"/>
    <mergeCell ref="B2026:C2026"/>
    <mergeCell ref="B2013:C2013"/>
    <mergeCell ref="B2015:I2015"/>
    <mergeCell ref="A2016:I2016"/>
    <mergeCell ref="A2017:I2017"/>
    <mergeCell ref="B2019:I2019"/>
    <mergeCell ref="B2006:C2006"/>
    <mergeCell ref="B2008:C2008"/>
    <mergeCell ref="B2009:C2009"/>
    <mergeCell ref="B2010:C2010"/>
    <mergeCell ref="B2011:C2011"/>
    <mergeCell ref="B2012:C2012"/>
    <mergeCell ref="A1992:I1992"/>
    <mergeCell ref="B1999:D1999"/>
    <mergeCell ref="A2001:I2001"/>
    <mergeCell ref="E2002:E2003"/>
    <mergeCell ref="B2004:C2005"/>
    <mergeCell ref="G2004:H2004"/>
    <mergeCell ref="I2004:I2005"/>
    <mergeCell ref="A1987:I1987"/>
    <mergeCell ref="A1988:I1988"/>
    <mergeCell ref="A1989:I1989"/>
    <mergeCell ref="A1990:I1990"/>
    <mergeCell ref="A1991:I1991"/>
    <mergeCell ref="B1980:C1980"/>
    <mergeCell ref="B1981:C1981"/>
    <mergeCell ref="B1982:C1982"/>
    <mergeCell ref="B1983:C1983"/>
    <mergeCell ref="B1984:C1984"/>
    <mergeCell ref="B1986:I1986"/>
    <mergeCell ref="E1974:E1975"/>
    <mergeCell ref="B1976:C1977"/>
    <mergeCell ref="G1976:H1976"/>
    <mergeCell ref="I1976:I1977"/>
    <mergeCell ref="B1978:C1978"/>
    <mergeCell ref="B1979:C1979"/>
    <mergeCell ref="A1964:I1964"/>
    <mergeCell ref="A1965:I1965"/>
    <mergeCell ref="A1966:I1966"/>
    <mergeCell ref="A1967:I1967"/>
    <mergeCell ref="B1969:I1969"/>
    <mergeCell ref="A1970:I1970"/>
    <mergeCell ref="B1956:C1956"/>
    <mergeCell ref="B1959:C1959"/>
    <mergeCell ref="B1960:C1960"/>
    <mergeCell ref="B1961:C1961"/>
    <mergeCell ref="A1963:I1963"/>
    <mergeCell ref="B1957:C1957"/>
    <mergeCell ref="E1950:E1951"/>
    <mergeCell ref="B1952:C1953"/>
    <mergeCell ref="G1952:H1952"/>
    <mergeCell ref="I1952:I1953"/>
    <mergeCell ref="B1954:C1954"/>
    <mergeCell ref="B1955:C1955"/>
    <mergeCell ref="B1943:D1943"/>
    <mergeCell ref="A1945:I1945"/>
    <mergeCell ref="A1946:I1946"/>
    <mergeCell ref="A1947:I1947"/>
    <mergeCell ref="A1948:I1948"/>
    <mergeCell ref="A1949:I1949"/>
    <mergeCell ref="A1927:I1927"/>
    <mergeCell ref="A1928:I1928"/>
    <mergeCell ref="A1929:I1929"/>
    <mergeCell ref="A1932:I1932"/>
    <mergeCell ref="A1933:I1933"/>
    <mergeCell ref="B1919:C1919"/>
    <mergeCell ref="B1920:C1920"/>
    <mergeCell ref="B1921:C1921"/>
    <mergeCell ref="B1922:C1922"/>
    <mergeCell ref="B1924:I1924"/>
    <mergeCell ref="A1925:I1925"/>
    <mergeCell ref="B1914:C1915"/>
    <mergeCell ref="G1914:H1914"/>
    <mergeCell ref="I1914:I1915"/>
    <mergeCell ref="B1916:C1916"/>
    <mergeCell ref="B1917:C1917"/>
    <mergeCell ref="B1918:C1918"/>
    <mergeCell ref="B1904:C1904"/>
    <mergeCell ref="B1905:C1905"/>
    <mergeCell ref="B1908:C1908"/>
    <mergeCell ref="A1909:I1909"/>
    <mergeCell ref="A1910:I1910"/>
    <mergeCell ref="E1912:E1913"/>
    <mergeCell ref="B1898:C1898"/>
    <mergeCell ref="B1899:C1899"/>
    <mergeCell ref="B1900:C1900"/>
    <mergeCell ref="B1901:C1901"/>
    <mergeCell ref="B1902:C1902"/>
    <mergeCell ref="B1903:C1903"/>
    <mergeCell ref="A1891:I1891"/>
    <mergeCell ref="A1892:I1892"/>
    <mergeCell ref="B1893:I1893"/>
    <mergeCell ref="E1894:E1895"/>
    <mergeCell ref="B1896:C1897"/>
    <mergeCell ref="G1896:H1896"/>
    <mergeCell ref="I1896:I1897"/>
    <mergeCell ref="A1879:I1879"/>
    <mergeCell ref="A1880:I1880"/>
    <mergeCell ref="B1882:I1882"/>
    <mergeCell ref="A1883:I1883"/>
    <mergeCell ref="B1889:D1889"/>
    <mergeCell ref="B1890:I1890"/>
    <mergeCell ref="A1881:I1881"/>
    <mergeCell ref="B1873:C1873"/>
    <mergeCell ref="B1874:I1874"/>
    <mergeCell ref="A1875:I1875"/>
    <mergeCell ref="A1876:I1876"/>
    <mergeCell ref="A1877:I1877"/>
    <mergeCell ref="A1878:I1878"/>
    <mergeCell ref="B1867:C1867"/>
    <mergeCell ref="B1868:C1868"/>
    <mergeCell ref="B1869:C1869"/>
    <mergeCell ref="B1870:C1870"/>
    <mergeCell ref="B1871:C1871"/>
    <mergeCell ref="B1872:C1872"/>
    <mergeCell ref="A1862:H1862"/>
    <mergeCell ref="E1863:E1864"/>
    <mergeCell ref="B1865:C1866"/>
    <mergeCell ref="G1865:H1865"/>
    <mergeCell ref="I1865:I1866"/>
    <mergeCell ref="B1853:C1853"/>
    <mergeCell ref="A1855:I1855"/>
    <mergeCell ref="A1856:I1856"/>
    <mergeCell ref="B1858:I1858"/>
    <mergeCell ref="A1859:I1859"/>
    <mergeCell ref="B1847:C1847"/>
    <mergeCell ref="B1848:C1848"/>
    <mergeCell ref="B1849:C1849"/>
    <mergeCell ref="B1850:C1850"/>
    <mergeCell ref="B1852:C1852"/>
    <mergeCell ref="B1857:I1857"/>
    <mergeCell ref="B1840:C1840"/>
    <mergeCell ref="B1841:C1841"/>
    <mergeCell ref="B1843:C1843"/>
    <mergeCell ref="B1844:C1844"/>
    <mergeCell ref="B1845:C1845"/>
    <mergeCell ref="B1846:C1846"/>
    <mergeCell ref="B1842:C1842"/>
    <mergeCell ref="B1851:C1851"/>
    <mergeCell ref="A1802:I1802"/>
    <mergeCell ref="B1833:I1833"/>
    <mergeCell ref="A1834:I1834"/>
    <mergeCell ref="B1835:I1835"/>
    <mergeCell ref="E1836:E1837"/>
    <mergeCell ref="B1838:C1839"/>
    <mergeCell ref="G1838:H1838"/>
    <mergeCell ref="I1838:I1839"/>
    <mergeCell ref="A1797:I1797"/>
    <mergeCell ref="A1798:I1798"/>
    <mergeCell ref="A1799:I1799"/>
    <mergeCell ref="A1800:I1800"/>
    <mergeCell ref="A1801:I1801"/>
    <mergeCell ref="B1790:C1790"/>
    <mergeCell ref="B1791:C1791"/>
    <mergeCell ref="B1792:C1792"/>
    <mergeCell ref="B1793:C1793"/>
    <mergeCell ref="B1795:I1795"/>
    <mergeCell ref="A1796:I1796"/>
    <mergeCell ref="B1785:C1786"/>
    <mergeCell ref="G1785:H1785"/>
    <mergeCell ref="I1785:I1786"/>
    <mergeCell ref="B1787:C1787"/>
    <mergeCell ref="B1788:C1788"/>
    <mergeCell ref="B1789:C1789"/>
    <mergeCell ref="A1751:I1751"/>
    <mergeCell ref="A1752:I1752"/>
    <mergeCell ref="A1778:I1778"/>
    <mergeCell ref="A1780:I1780"/>
    <mergeCell ref="A1782:I1782"/>
    <mergeCell ref="E1783:E1784"/>
    <mergeCell ref="A1747:I1747"/>
    <mergeCell ref="A1748:I1748"/>
    <mergeCell ref="A1749:I1749"/>
    <mergeCell ref="A1750:I1750"/>
    <mergeCell ref="B1740:C1740"/>
    <mergeCell ref="B1742:I1742"/>
    <mergeCell ref="A1743:I1743"/>
    <mergeCell ref="A1744:I1744"/>
    <mergeCell ref="A1745:I1745"/>
    <mergeCell ref="B1734:C1734"/>
    <mergeCell ref="B1735:C1735"/>
    <mergeCell ref="B1736:C1736"/>
    <mergeCell ref="B1737:C1737"/>
    <mergeCell ref="B1738:C1738"/>
    <mergeCell ref="B1739:C1739"/>
    <mergeCell ref="A1746:I1746"/>
    <mergeCell ref="B1727:I1727"/>
    <mergeCell ref="A1729:I1729"/>
    <mergeCell ref="E1730:E1731"/>
    <mergeCell ref="B1732:C1733"/>
    <mergeCell ref="G1732:H1732"/>
    <mergeCell ref="I1732:I1733"/>
    <mergeCell ref="A1707:I1707"/>
    <mergeCell ref="A1710:I1710"/>
    <mergeCell ref="A1712:I1712"/>
    <mergeCell ref="A1714:I1714"/>
    <mergeCell ref="A1717:I1717"/>
    <mergeCell ref="A1725:E1725"/>
    <mergeCell ref="A1661:I1661"/>
    <mergeCell ref="B1662:I1662"/>
    <mergeCell ref="B1665:E1665"/>
    <mergeCell ref="B1652:C1652"/>
    <mergeCell ref="B1654:I1654"/>
    <mergeCell ref="A1655:I1655"/>
    <mergeCell ref="A1656:I1656"/>
    <mergeCell ref="A1657:I1657"/>
    <mergeCell ref="A1658:I1658"/>
    <mergeCell ref="B1699:C1699"/>
    <mergeCell ref="B1700:C1700"/>
    <mergeCell ref="B1701:C1701"/>
    <mergeCell ref="B1702:C1702"/>
    <mergeCell ref="B1704:I1704"/>
    <mergeCell ref="A1705:I1705"/>
    <mergeCell ref="B1694:C1695"/>
    <mergeCell ref="G1694:H1694"/>
    <mergeCell ref="I1694:I1695"/>
    <mergeCell ref="B1696:C1696"/>
    <mergeCell ref="B1697:C1697"/>
    <mergeCell ref="B1698:C1698"/>
    <mergeCell ref="A1683:I1683"/>
    <mergeCell ref="A1684:I1684"/>
    <mergeCell ref="A1691:I1691"/>
    <mergeCell ref="E1692:E1693"/>
    <mergeCell ref="B1674:C1674"/>
    <mergeCell ref="B1675:C1675"/>
    <mergeCell ref="B1676:C1676"/>
    <mergeCell ref="B1678:C1678"/>
    <mergeCell ref="A1680:I1680"/>
    <mergeCell ref="A1681:I1681"/>
    <mergeCell ref="B1646:C1646"/>
    <mergeCell ref="B1647:C1647"/>
    <mergeCell ref="B1648:C1648"/>
    <mergeCell ref="B1649:C1649"/>
    <mergeCell ref="B1650:C1650"/>
    <mergeCell ref="B1651:C1651"/>
    <mergeCell ref="A1682:I1682"/>
    <mergeCell ref="B1641:I1641"/>
    <mergeCell ref="E1642:E1643"/>
    <mergeCell ref="B1644:C1645"/>
    <mergeCell ref="G1644:H1644"/>
    <mergeCell ref="I1644:I1645"/>
    <mergeCell ref="A1632:I1632"/>
    <mergeCell ref="A1633:I1633"/>
    <mergeCell ref="B1636:I1636"/>
    <mergeCell ref="A1637:I1637"/>
    <mergeCell ref="B1625:C1625"/>
    <mergeCell ref="B1627:C1627"/>
    <mergeCell ref="B1628:C1628"/>
    <mergeCell ref="B1629:C1629"/>
    <mergeCell ref="A1630:I1630"/>
    <mergeCell ref="A1631:I1631"/>
    <mergeCell ref="B1626:C1626"/>
    <mergeCell ref="A1659:I1659"/>
    <mergeCell ref="B1667:I1667"/>
    <mergeCell ref="A1668:I1668"/>
    <mergeCell ref="B1669:I1669"/>
    <mergeCell ref="E1670:E1671"/>
    <mergeCell ref="B1672:C1673"/>
    <mergeCell ref="G1672:H1672"/>
    <mergeCell ref="I1672:I1673"/>
    <mergeCell ref="A1660:I1660"/>
    <mergeCell ref="B1619:C1619"/>
    <mergeCell ref="B1620:C1620"/>
    <mergeCell ref="B1621:C1621"/>
    <mergeCell ref="B1622:C1622"/>
    <mergeCell ref="B1624:C1624"/>
    <mergeCell ref="B1613:I1613"/>
    <mergeCell ref="E1614:E1615"/>
    <mergeCell ref="B1616:C1617"/>
    <mergeCell ref="G1616:H1616"/>
    <mergeCell ref="I1616:I1617"/>
    <mergeCell ref="B1618:C1618"/>
    <mergeCell ref="A1595:I1595"/>
    <mergeCell ref="A1596:I1596"/>
    <mergeCell ref="B1610:I1610"/>
    <mergeCell ref="A1611:I1611"/>
    <mergeCell ref="A1612:I1612"/>
    <mergeCell ref="A1639:I1639"/>
    <mergeCell ref="B1589:C1589"/>
    <mergeCell ref="A1591:I1591"/>
    <mergeCell ref="A1592:I1592"/>
    <mergeCell ref="A1593:I1593"/>
    <mergeCell ref="A1594:I1594"/>
    <mergeCell ref="B1583:C1583"/>
    <mergeCell ref="B1584:C1584"/>
    <mergeCell ref="B1585:C1585"/>
    <mergeCell ref="B1586:C1586"/>
    <mergeCell ref="B1587:C1587"/>
    <mergeCell ref="B1588:C1588"/>
    <mergeCell ref="A1573:I1573"/>
    <mergeCell ref="B1577:I1577"/>
    <mergeCell ref="A1578:I1578"/>
    <mergeCell ref="E1579:E1580"/>
    <mergeCell ref="B1581:C1582"/>
    <mergeCell ref="G1581:H1581"/>
    <mergeCell ref="I1581:I1582"/>
    <mergeCell ref="B1563:C1563"/>
    <mergeCell ref="B1564:C1564"/>
    <mergeCell ref="B1565:C1565"/>
    <mergeCell ref="B1566:C1566"/>
    <mergeCell ref="B1567:C1567"/>
    <mergeCell ref="A1570:I1570"/>
    <mergeCell ref="E1557:E1558"/>
    <mergeCell ref="B1559:C1560"/>
    <mergeCell ref="G1559:H1559"/>
    <mergeCell ref="I1559:I1560"/>
    <mergeCell ref="B1561:C1561"/>
    <mergeCell ref="B1562:C1562"/>
    <mergeCell ref="A1541:I1541"/>
    <mergeCell ref="A1542:I1542"/>
    <mergeCell ref="A1546:I1546"/>
    <mergeCell ref="A1553:I1553"/>
    <mergeCell ref="B1555:I1555"/>
    <mergeCell ref="A1556:I1556"/>
    <mergeCell ref="B1534:C1534"/>
    <mergeCell ref="B1536:I1536"/>
    <mergeCell ref="A1537:I1537"/>
    <mergeCell ref="A1538:I1538"/>
    <mergeCell ref="A1539:I1539"/>
    <mergeCell ref="A1540:I1540"/>
    <mergeCell ref="B1528:C1528"/>
    <mergeCell ref="B1529:C1529"/>
    <mergeCell ref="B1530:C1530"/>
    <mergeCell ref="B1531:C1531"/>
    <mergeCell ref="B1532:C1532"/>
    <mergeCell ref="B1533:C1533"/>
    <mergeCell ref="A1517:I1517"/>
    <mergeCell ref="B1521:I1521"/>
    <mergeCell ref="E1524:E1525"/>
    <mergeCell ref="B1526:C1527"/>
    <mergeCell ref="G1526:H1526"/>
    <mergeCell ref="I1526:I1527"/>
    <mergeCell ref="A1518:I1518"/>
    <mergeCell ref="B1519:I1519"/>
    <mergeCell ref="B1507:C1507"/>
    <mergeCell ref="B1508:C1508"/>
    <mergeCell ref="B1509:C1509"/>
    <mergeCell ref="B1510:C1510"/>
    <mergeCell ref="B1513:C1513"/>
    <mergeCell ref="A1516:I1516"/>
    <mergeCell ref="B1503:C1504"/>
    <mergeCell ref="G1503:H1503"/>
    <mergeCell ref="I1503:I1504"/>
    <mergeCell ref="B1505:C1505"/>
    <mergeCell ref="B1506:C1506"/>
    <mergeCell ref="A1487:I1487"/>
    <mergeCell ref="A1495:D1495"/>
    <mergeCell ref="B1497:I1497"/>
    <mergeCell ref="A1498:I1498"/>
    <mergeCell ref="B1499:I1499"/>
    <mergeCell ref="E1501:E1502"/>
    <mergeCell ref="B1512:C1512"/>
    <mergeCell ref="B1511:C1511"/>
    <mergeCell ref="B1488:I1488"/>
    <mergeCell ref="B1478:C1478"/>
    <mergeCell ref="B1480:I1480"/>
    <mergeCell ref="A1481:I1481"/>
    <mergeCell ref="A1484:I1484"/>
    <mergeCell ref="A1485:I1485"/>
    <mergeCell ref="A1486:I1486"/>
    <mergeCell ref="B1472:C1472"/>
    <mergeCell ref="B1473:C1473"/>
    <mergeCell ref="B1474:C1474"/>
    <mergeCell ref="B1475:C1475"/>
    <mergeCell ref="B1476:C1476"/>
    <mergeCell ref="B1477:C1477"/>
    <mergeCell ref="A1462:I1462"/>
    <mergeCell ref="B1467:I1467"/>
    <mergeCell ref="E1468:E1469"/>
    <mergeCell ref="B1470:C1471"/>
    <mergeCell ref="G1470:H1470"/>
    <mergeCell ref="I1470:I1471"/>
    <mergeCell ref="A1426:I1426"/>
    <mergeCell ref="A1428:I1428"/>
    <mergeCell ref="A1429:I1429"/>
    <mergeCell ref="A1430:I1430"/>
    <mergeCell ref="A1461:I1461"/>
    <mergeCell ref="B1417:C1417"/>
    <mergeCell ref="B1418:C1418"/>
    <mergeCell ref="B1419:C1419"/>
    <mergeCell ref="B1420:C1420"/>
    <mergeCell ref="B1421:C1421"/>
    <mergeCell ref="B1422:C1422"/>
    <mergeCell ref="B1454:C1454"/>
    <mergeCell ref="B1456:I1456"/>
    <mergeCell ref="A1457:I1457"/>
    <mergeCell ref="B1458:I1458"/>
    <mergeCell ref="A1459:I1459"/>
    <mergeCell ref="A1460:I1460"/>
    <mergeCell ref="B1448:C1448"/>
    <mergeCell ref="B1449:C1449"/>
    <mergeCell ref="B1450:C1450"/>
    <mergeCell ref="B1451:C1451"/>
    <mergeCell ref="B1452:C1452"/>
    <mergeCell ref="B1453:C1453"/>
    <mergeCell ref="B1441:I1441"/>
    <mergeCell ref="B1443:I1443"/>
    <mergeCell ref="E1444:E1445"/>
    <mergeCell ref="B1446:C1447"/>
    <mergeCell ref="G1446:H1446"/>
    <mergeCell ref="I1446:I1447"/>
    <mergeCell ref="A1434:I1434"/>
    <mergeCell ref="A1433:I1433"/>
    <mergeCell ref="B1289:C1289"/>
    <mergeCell ref="A1290:I1290"/>
    <mergeCell ref="A1408:I1408"/>
    <mergeCell ref="B1328:E1328"/>
    <mergeCell ref="B1343:C1343"/>
    <mergeCell ref="B1345:I1345"/>
    <mergeCell ref="A1346:I1346"/>
    <mergeCell ref="A1347:I1347"/>
    <mergeCell ref="A1348:I1348"/>
    <mergeCell ref="B1337:C1337"/>
    <mergeCell ref="B1338:C1338"/>
    <mergeCell ref="B1339:C1339"/>
    <mergeCell ref="B1340:C1340"/>
    <mergeCell ref="B1341:C1341"/>
    <mergeCell ref="B1400:C1400"/>
    <mergeCell ref="B1401:C1401"/>
    <mergeCell ref="B1402:C1402"/>
    <mergeCell ref="B1405:C1405"/>
    <mergeCell ref="B1406:C1406"/>
    <mergeCell ref="B1407:I1407"/>
    <mergeCell ref="B1394:C1394"/>
    <mergeCell ref="B1395:C1395"/>
    <mergeCell ref="B1396:C1396"/>
    <mergeCell ref="B1397:C1397"/>
    <mergeCell ref="B1398:C1398"/>
    <mergeCell ref="B1399:C1399"/>
    <mergeCell ref="B1298:I1298"/>
    <mergeCell ref="A1300:I1300"/>
    <mergeCell ref="B1283:C1283"/>
    <mergeCell ref="B1285:C1285"/>
    <mergeCell ref="B1286:C1286"/>
    <mergeCell ref="B1287:C1287"/>
    <mergeCell ref="B1288:C1288"/>
    <mergeCell ref="B1265:C1265"/>
    <mergeCell ref="B1266:C1266"/>
    <mergeCell ref="B1267:C1267"/>
    <mergeCell ref="B1272:C1272"/>
    <mergeCell ref="B1273:C1273"/>
    <mergeCell ref="B1274:C1274"/>
    <mergeCell ref="B1255:C1255"/>
    <mergeCell ref="B1259:C1259"/>
    <mergeCell ref="B1261:C1261"/>
    <mergeCell ref="B1262:C1262"/>
    <mergeCell ref="B1263:C1263"/>
    <mergeCell ref="B1264:C1264"/>
    <mergeCell ref="B1249:C1249"/>
    <mergeCell ref="B1250:C1250"/>
    <mergeCell ref="B1251:C1251"/>
    <mergeCell ref="B1252:C1252"/>
    <mergeCell ref="B1253:C1253"/>
    <mergeCell ref="B1254:C1254"/>
    <mergeCell ref="B1243:C1243"/>
    <mergeCell ref="B1244:C1244"/>
    <mergeCell ref="B1245:C1245"/>
    <mergeCell ref="B1246:C1246"/>
    <mergeCell ref="B1247:C1247"/>
    <mergeCell ref="B1248:C1248"/>
    <mergeCell ref="B1232:C1232"/>
    <mergeCell ref="B1233:C1233"/>
    <mergeCell ref="B1236:C1236"/>
    <mergeCell ref="B1238:C1238"/>
    <mergeCell ref="B1239:C1239"/>
    <mergeCell ref="B1241:C1241"/>
    <mergeCell ref="B1226:C1226"/>
    <mergeCell ref="B1227:C1227"/>
    <mergeCell ref="B1228:C1228"/>
    <mergeCell ref="B1229:C1229"/>
    <mergeCell ref="B1230:C1230"/>
    <mergeCell ref="B1231:C1231"/>
    <mergeCell ref="B1222:C1223"/>
    <mergeCell ref="G1222:H1222"/>
    <mergeCell ref="I1222:I1223"/>
    <mergeCell ref="B1224:C1224"/>
    <mergeCell ref="B1225:C1225"/>
    <mergeCell ref="B1206:C1206"/>
    <mergeCell ref="B1210:C1210"/>
    <mergeCell ref="B1218:I1218"/>
    <mergeCell ref="A1219:I1219"/>
    <mergeCell ref="B1198:C1198"/>
    <mergeCell ref="B1199:C1199"/>
    <mergeCell ref="B1200:C1200"/>
    <mergeCell ref="A1203:I1203"/>
    <mergeCell ref="A1204:I1204"/>
    <mergeCell ref="B1205:C1205"/>
    <mergeCell ref="E1220:E1221"/>
    <mergeCell ref="B1189:C1189"/>
    <mergeCell ref="B1190:C1190"/>
    <mergeCell ref="B1191:C1191"/>
    <mergeCell ref="B1193:C1193"/>
    <mergeCell ref="B1196:C1196"/>
    <mergeCell ref="B1197:C1197"/>
    <mergeCell ref="B1183:C1183"/>
    <mergeCell ref="B1184:C1184"/>
    <mergeCell ref="B1185:C1185"/>
    <mergeCell ref="B1186:C1186"/>
    <mergeCell ref="B1187:C1187"/>
    <mergeCell ref="B1188:C1188"/>
    <mergeCell ref="B1195:C1195"/>
    <mergeCell ref="B1177:C1177"/>
    <mergeCell ref="B1178:C1178"/>
    <mergeCell ref="B1179:C1179"/>
    <mergeCell ref="B1180:C1180"/>
    <mergeCell ref="B1181:C1181"/>
    <mergeCell ref="B1182:C1182"/>
    <mergeCell ref="B1171:C1171"/>
    <mergeCell ref="B1172:C1172"/>
    <mergeCell ref="B1173:C1173"/>
    <mergeCell ref="B1174:C1174"/>
    <mergeCell ref="B1175:C1175"/>
    <mergeCell ref="B1176:C1176"/>
    <mergeCell ref="B1166:C1167"/>
    <mergeCell ref="G1166:H1166"/>
    <mergeCell ref="I1166:I1167"/>
    <mergeCell ref="B1168:C1168"/>
    <mergeCell ref="B1169:C1169"/>
    <mergeCell ref="B1170:C1170"/>
    <mergeCell ref="B1126:C1126"/>
    <mergeCell ref="A1128:I1128"/>
    <mergeCell ref="A1129:I1129"/>
    <mergeCell ref="A1130:I1130"/>
    <mergeCell ref="E1164:E1165"/>
    <mergeCell ref="B1119:C1119"/>
    <mergeCell ref="B1120:C1120"/>
    <mergeCell ref="B1121:C1121"/>
    <mergeCell ref="B1122:C1122"/>
    <mergeCell ref="B1123:C1123"/>
    <mergeCell ref="B1124:C1124"/>
    <mergeCell ref="E1114:E1115"/>
    <mergeCell ref="A1116:A1117"/>
    <mergeCell ref="B1116:C1117"/>
    <mergeCell ref="G1116:H1116"/>
    <mergeCell ref="I1116:I1117"/>
    <mergeCell ref="B1118:C1118"/>
    <mergeCell ref="B1093:I1093"/>
    <mergeCell ref="A1094:I1094"/>
    <mergeCell ref="B1109:C1109"/>
    <mergeCell ref="A1111:I1111"/>
    <mergeCell ref="A1112:I1112"/>
    <mergeCell ref="B1083:C1083"/>
    <mergeCell ref="B1086:C1086"/>
    <mergeCell ref="B1087:C1087"/>
    <mergeCell ref="B1088:C1088"/>
    <mergeCell ref="B1089:C1089"/>
    <mergeCell ref="B1090:C1090"/>
    <mergeCell ref="B1077:C1077"/>
    <mergeCell ref="B1078:C1078"/>
    <mergeCell ref="B1079:C1079"/>
    <mergeCell ref="B1080:C1080"/>
    <mergeCell ref="B1081:C1081"/>
    <mergeCell ref="B1082:C1082"/>
    <mergeCell ref="B1071:C1071"/>
    <mergeCell ref="B1072:C1072"/>
    <mergeCell ref="B1073:C1073"/>
    <mergeCell ref="B1074:C1074"/>
    <mergeCell ref="B1075:C1075"/>
    <mergeCell ref="B1076:C1076"/>
    <mergeCell ref="B1064:C1064"/>
    <mergeCell ref="B1065:C1065"/>
    <mergeCell ref="B1066:C1066"/>
    <mergeCell ref="B1067:C1067"/>
    <mergeCell ref="B1068:C1068"/>
    <mergeCell ref="B1069:C1069"/>
    <mergeCell ref="B1058:C1058"/>
    <mergeCell ref="B1059:C1059"/>
    <mergeCell ref="B1060:C1060"/>
    <mergeCell ref="B1061:C1061"/>
    <mergeCell ref="B1062:C1062"/>
    <mergeCell ref="B1063:C1063"/>
    <mergeCell ref="A1040:I1040"/>
    <mergeCell ref="A1052:I1052"/>
    <mergeCell ref="A1053:I1053"/>
    <mergeCell ref="E1054:E1055"/>
    <mergeCell ref="B1056:C1057"/>
    <mergeCell ref="G1056:H1056"/>
    <mergeCell ref="I1056:I1057"/>
    <mergeCell ref="B1029:C1029"/>
    <mergeCell ref="B1031:C1031"/>
    <mergeCell ref="B1035:C1035"/>
    <mergeCell ref="A1037:I1037"/>
    <mergeCell ref="A1038:I1038"/>
    <mergeCell ref="A1039:I1039"/>
    <mergeCell ref="B1021:C1021"/>
    <mergeCell ref="B1022:C1022"/>
    <mergeCell ref="B1023:C1023"/>
    <mergeCell ref="B1025:C1025"/>
    <mergeCell ref="B1027:C1027"/>
    <mergeCell ref="B1028:C1028"/>
    <mergeCell ref="A1013:I1013"/>
    <mergeCell ref="E1016:E1017"/>
    <mergeCell ref="B1018:C1019"/>
    <mergeCell ref="G1018:H1018"/>
    <mergeCell ref="I1018:I1019"/>
    <mergeCell ref="B1020:C1020"/>
    <mergeCell ref="B1032:C1032"/>
    <mergeCell ref="B1006:C1006"/>
    <mergeCell ref="B1007:C1007"/>
    <mergeCell ref="B1008:C1008"/>
    <mergeCell ref="B1009:C1009"/>
    <mergeCell ref="B1010:C1010"/>
    <mergeCell ref="B1011:C1011"/>
    <mergeCell ref="E1001:E1002"/>
    <mergeCell ref="A1003:A1004"/>
    <mergeCell ref="B1003:C1004"/>
    <mergeCell ref="G1003:H1003"/>
    <mergeCell ref="I1003:I1004"/>
    <mergeCell ref="B1005:C1005"/>
    <mergeCell ref="B984:I984"/>
    <mergeCell ref="B996:D996"/>
    <mergeCell ref="A999:I999"/>
    <mergeCell ref="I944:I945"/>
    <mergeCell ref="B946:C946"/>
    <mergeCell ref="B947:C947"/>
    <mergeCell ref="B975:C975"/>
    <mergeCell ref="B976:C976"/>
    <mergeCell ref="B977:C977"/>
    <mergeCell ref="B978:C978"/>
    <mergeCell ref="B981:I981"/>
    <mergeCell ref="B982:I982"/>
    <mergeCell ref="B966:C966"/>
    <mergeCell ref="B967:C967"/>
    <mergeCell ref="B968:C968"/>
    <mergeCell ref="B969:C969"/>
    <mergeCell ref="B971:C971"/>
    <mergeCell ref="B974:C974"/>
    <mergeCell ref="B973:C973"/>
    <mergeCell ref="B961:C961"/>
    <mergeCell ref="B962:C962"/>
    <mergeCell ref="B963:C963"/>
    <mergeCell ref="B964:C964"/>
    <mergeCell ref="B965:C965"/>
    <mergeCell ref="B919:C919"/>
    <mergeCell ref="A922:I922"/>
    <mergeCell ref="A923:I923"/>
    <mergeCell ref="A941:I941"/>
    <mergeCell ref="B913:C913"/>
    <mergeCell ref="B914:C914"/>
    <mergeCell ref="B915:C915"/>
    <mergeCell ref="B916:C916"/>
    <mergeCell ref="B917:C917"/>
    <mergeCell ref="B918:C918"/>
    <mergeCell ref="B960:C960"/>
    <mergeCell ref="E907:E908"/>
    <mergeCell ref="B909:C910"/>
    <mergeCell ref="G909:H909"/>
    <mergeCell ref="I909:I910"/>
    <mergeCell ref="B911:C911"/>
    <mergeCell ref="B912:C912"/>
    <mergeCell ref="B954:C954"/>
    <mergeCell ref="B955:C955"/>
    <mergeCell ref="B956:C956"/>
    <mergeCell ref="B957:C957"/>
    <mergeCell ref="B958:C958"/>
    <mergeCell ref="B959:C959"/>
    <mergeCell ref="B948:C948"/>
    <mergeCell ref="B949:C949"/>
    <mergeCell ref="B950:C950"/>
    <mergeCell ref="B951:C951"/>
    <mergeCell ref="B952:C952"/>
    <mergeCell ref="B953:C953"/>
    <mergeCell ref="E942:E943"/>
    <mergeCell ref="B944:C945"/>
    <mergeCell ref="G944:H944"/>
    <mergeCell ref="B896:C896"/>
    <mergeCell ref="B897:C897"/>
    <mergeCell ref="B898:C898"/>
    <mergeCell ref="B899:C899"/>
    <mergeCell ref="B900:C900"/>
    <mergeCell ref="B902:I902"/>
    <mergeCell ref="A887:I887"/>
    <mergeCell ref="A888:I888"/>
    <mergeCell ref="A889:I889"/>
    <mergeCell ref="A894:A895"/>
    <mergeCell ref="B894:C895"/>
    <mergeCell ref="G894:H894"/>
    <mergeCell ref="I894:I895"/>
    <mergeCell ref="A876:I876"/>
    <mergeCell ref="A877:H877"/>
    <mergeCell ref="A878:H878"/>
    <mergeCell ref="A879:I879"/>
    <mergeCell ref="B885:D885"/>
    <mergeCell ref="E892:E893"/>
    <mergeCell ref="B867:C867"/>
    <mergeCell ref="B868:C868"/>
    <mergeCell ref="B869:C869"/>
    <mergeCell ref="B870:C870"/>
    <mergeCell ref="B871:C871"/>
    <mergeCell ref="A874:I874"/>
    <mergeCell ref="B858:C858"/>
    <mergeCell ref="B859:C859"/>
    <mergeCell ref="B860:C860"/>
    <mergeCell ref="B861:C861"/>
    <mergeCell ref="B862:C862"/>
    <mergeCell ref="B864:C864"/>
    <mergeCell ref="B866:C866"/>
    <mergeCell ref="B847:C847"/>
    <mergeCell ref="B848:C848"/>
    <mergeCell ref="B849:C849"/>
    <mergeCell ref="B850:C850"/>
    <mergeCell ref="B851:C851"/>
    <mergeCell ref="B852:C852"/>
    <mergeCell ref="B840:C840"/>
    <mergeCell ref="B842:C842"/>
    <mergeCell ref="B843:C843"/>
    <mergeCell ref="B844:C844"/>
    <mergeCell ref="B845:C845"/>
    <mergeCell ref="B846:C846"/>
    <mergeCell ref="B834:C834"/>
    <mergeCell ref="B835:C835"/>
    <mergeCell ref="B836:C836"/>
    <mergeCell ref="B837:C837"/>
    <mergeCell ref="B838:C838"/>
    <mergeCell ref="B839:C839"/>
    <mergeCell ref="B802:I802"/>
    <mergeCell ref="A803:I803"/>
    <mergeCell ref="E830:E831"/>
    <mergeCell ref="B832:C833"/>
    <mergeCell ref="G832:H832"/>
    <mergeCell ref="I832:I833"/>
    <mergeCell ref="B794:C794"/>
    <mergeCell ref="B796:C796"/>
    <mergeCell ref="B797:C797"/>
    <mergeCell ref="B798:C798"/>
    <mergeCell ref="B799:C799"/>
    <mergeCell ref="B800:C800"/>
    <mergeCell ref="B787:C787"/>
    <mergeCell ref="B788:C788"/>
    <mergeCell ref="B789:C789"/>
    <mergeCell ref="B790:C790"/>
    <mergeCell ref="B791:C791"/>
    <mergeCell ref="B792:C792"/>
    <mergeCell ref="B781:C781"/>
    <mergeCell ref="B782:C782"/>
    <mergeCell ref="B783:C783"/>
    <mergeCell ref="B784:C784"/>
    <mergeCell ref="B785:C785"/>
    <mergeCell ref="B786:C786"/>
    <mergeCell ref="B769:C769"/>
    <mergeCell ref="B770:C770"/>
    <mergeCell ref="B776:C776"/>
    <mergeCell ref="B777:C777"/>
    <mergeCell ref="B778:C778"/>
    <mergeCell ref="B779:C779"/>
    <mergeCell ref="B763:C763"/>
    <mergeCell ref="B764:C764"/>
    <mergeCell ref="B765:C765"/>
    <mergeCell ref="B766:C766"/>
    <mergeCell ref="B767:C767"/>
    <mergeCell ref="B768:C768"/>
    <mergeCell ref="B757:C757"/>
    <mergeCell ref="B758:C758"/>
    <mergeCell ref="B759:C759"/>
    <mergeCell ref="B760:C760"/>
    <mergeCell ref="B761:C761"/>
    <mergeCell ref="B762:C762"/>
    <mergeCell ref="B749:C749"/>
    <mergeCell ref="B750:C750"/>
    <mergeCell ref="B752:C752"/>
    <mergeCell ref="B754:C754"/>
    <mergeCell ref="B755:C755"/>
    <mergeCell ref="B756:C756"/>
    <mergeCell ref="B743:C743"/>
    <mergeCell ref="B744:C744"/>
    <mergeCell ref="B745:C745"/>
    <mergeCell ref="B746:C746"/>
    <mergeCell ref="B747:C747"/>
    <mergeCell ref="B748:C748"/>
    <mergeCell ref="B736:C736"/>
    <mergeCell ref="B737:C737"/>
    <mergeCell ref="B738:C738"/>
    <mergeCell ref="B739:C739"/>
    <mergeCell ref="B740:C740"/>
    <mergeCell ref="B741:C741"/>
    <mergeCell ref="B753:C753"/>
    <mergeCell ref="B729:C729"/>
    <mergeCell ref="B730:C730"/>
    <mergeCell ref="B731:C731"/>
    <mergeCell ref="B732:C732"/>
    <mergeCell ref="B733:C733"/>
    <mergeCell ref="B734:C734"/>
    <mergeCell ref="B722:C722"/>
    <mergeCell ref="B724:C724"/>
    <mergeCell ref="B725:C725"/>
    <mergeCell ref="B726:C726"/>
    <mergeCell ref="B727:C727"/>
    <mergeCell ref="B728:C728"/>
    <mergeCell ref="B709:C709"/>
    <mergeCell ref="B710:C710"/>
    <mergeCell ref="B711:C711"/>
    <mergeCell ref="B713:C713"/>
    <mergeCell ref="B719:C719"/>
    <mergeCell ref="B720:C720"/>
    <mergeCell ref="B703:C703"/>
    <mergeCell ref="B704:C704"/>
    <mergeCell ref="B705:C705"/>
    <mergeCell ref="B706:C706"/>
    <mergeCell ref="B707:C707"/>
    <mergeCell ref="B708:C708"/>
    <mergeCell ref="B694:C694"/>
    <mergeCell ref="B697:C697"/>
    <mergeCell ref="B698:C698"/>
    <mergeCell ref="B699:C699"/>
    <mergeCell ref="B700:C700"/>
    <mergeCell ref="B701:C701"/>
    <mergeCell ref="B712:C712"/>
    <mergeCell ref="E688:E689"/>
    <mergeCell ref="B690:C691"/>
    <mergeCell ref="G690:H690"/>
    <mergeCell ref="I690:I691"/>
    <mergeCell ref="B692:C692"/>
    <mergeCell ref="B693:C693"/>
    <mergeCell ref="B680:C680"/>
    <mergeCell ref="B681:C681"/>
    <mergeCell ref="A683:I683"/>
    <mergeCell ref="A684:I684"/>
    <mergeCell ref="A686:I686"/>
    <mergeCell ref="A687:I687"/>
    <mergeCell ref="B674:C674"/>
    <mergeCell ref="B675:C675"/>
    <mergeCell ref="B676:C676"/>
    <mergeCell ref="B677:C677"/>
    <mergeCell ref="B678:C678"/>
    <mergeCell ref="B679:C679"/>
    <mergeCell ref="B648:I648"/>
    <mergeCell ref="A667:I667"/>
    <mergeCell ref="A669:I669"/>
    <mergeCell ref="E670:E671"/>
    <mergeCell ref="A672:A673"/>
    <mergeCell ref="B672:C673"/>
    <mergeCell ref="G672:H672"/>
    <mergeCell ref="B641:C641"/>
    <mergeCell ref="B642:C642"/>
    <mergeCell ref="B643:C643"/>
    <mergeCell ref="B644:C644"/>
    <mergeCell ref="B645:C645"/>
    <mergeCell ref="B631:C631"/>
    <mergeCell ref="B632:C632"/>
    <mergeCell ref="B633:C633"/>
    <mergeCell ref="B634:C634"/>
    <mergeCell ref="B635:C635"/>
    <mergeCell ref="B636:C636"/>
    <mergeCell ref="B638:C638"/>
    <mergeCell ref="B640:C640"/>
    <mergeCell ref="B625:C625"/>
    <mergeCell ref="B626:C626"/>
    <mergeCell ref="B627:C627"/>
    <mergeCell ref="B628:C628"/>
    <mergeCell ref="B629:C629"/>
    <mergeCell ref="B630:C630"/>
    <mergeCell ref="B619:C619"/>
    <mergeCell ref="B620:C620"/>
    <mergeCell ref="B621:C621"/>
    <mergeCell ref="B622:C622"/>
    <mergeCell ref="B623:C623"/>
    <mergeCell ref="B624:C624"/>
    <mergeCell ref="B613:C613"/>
    <mergeCell ref="B614:C614"/>
    <mergeCell ref="B615:C615"/>
    <mergeCell ref="B616:C616"/>
    <mergeCell ref="B617:C617"/>
    <mergeCell ref="B618:C618"/>
    <mergeCell ref="A605:I605"/>
    <mergeCell ref="A606:I606"/>
    <mergeCell ref="D609:F609"/>
    <mergeCell ref="B611:C612"/>
    <mergeCell ref="G611:H611"/>
    <mergeCell ref="I611:I612"/>
    <mergeCell ref="B591:C591"/>
    <mergeCell ref="B592:C592"/>
    <mergeCell ref="B593:C593"/>
    <mergeCell ref="B600:C600"/>
    <mergeCell ref="A601:I601"/>
    <mergeCell ref="A602:I602"/>
    <mergeCell ref="B583:C583"/>
    <mergeCell ref="B584:C584"/>
    <mergeCell ref="B585:C585"/>
    <mergeCell ref="B586:C586"/>
    <mergeCell ref="B588:C588"/>
    <mergeCell ref="B589:C589"/>
    <mergeCell ref="B570:C570"/>
    <mergeCell ref="A573:I573"/>
    <mergeCell ref="D579:F579"/>
    <mergeCell ref="B581:C582"/>
    <mergeCell ref="G581:H581"/>
    <mergeCell ref="I581:I582"/>
    <mergeCell ref="B563:C563"/>
    <mergeCell ref="B564:C564"/>
    <mergeCell ref="B565:C565"/>
    <mergeCell ref="B566:C566"/>
    <mergeCell ref="B567:C567"/>
    <mergeCell ref="B568:C568"/>
    <mergeCell ref="A556:I556"/>
    <mergeCell ref="A557:I557"/>
    <mergeCell ref="D559:F559"/>
    <mergeCell ref="A561:A562"/>
    <mergeCell ref="B561:C562"/>
    <mergeCell ref="G561:H561"/>
    <mergeCell ref="I561:I562"/>
    <mergeCell ref="A539:I539"/>
    <mergeCell ref="A540:I540"/>
    <mergeCell ref="A541:I541"/>
    <mergeCell ref="A542:I542"/>
    <mergeCell ref="B554:D554"/>
    <mergeCell ref="A533:I533"/>
    <mergeCell ref="A534:I534"/>
    <mergeCell ref="A535:I535"/>
    <mergeCell ref="A536:I536"/>
    <mergeCell ref="A537:I537"/>
    <mergeCell ref="A538:I538"/>
    <mergeCell ref="B524:C524"/>
    <mergeCell ref="B525:C525"/>
    <mergeCell ref="B526:C526"/>
    <mergeCell ref="B528:C528"/>
    <mergeCell ref="A531:I531"/>
    <mergeCell ref="A532:I532"/>
    <mergeCell ref="A513:I513"/>
    <mergeCell ref="D517:F517"/>
    <mergeCell ref="B519:C520"/>
    <mergeCell ref="G519:H519"/>
    <mergeCell ref="B522:C522"/>
    <mergeCell ref="B523:C523"/>
    <mergeCell ref="B497:C497"/>
    <mergeCell ref="B506:C506"/>
    <mergeCell ref="B507:C507"/>
    <mergeCell ref="B508:C508"/>
    <mergeCell ref="B509:C509"/>
    <mergeCell ref="B510:C510"/>
    <mergeCell ref="B499:C499"/>
    <mergeCell ref="B490:C490"/>
    <mergeCell ref="B491:C491"/>
    <mergeCell ref="B492:C492"/>
    <mergeCell ref="B493:C493"/>
    <mergeCell ref="B494:C494"/>
    <mergeCell ref="B495:C495"/>
    <mergeCell ref="B484:C484"/>
    <mergeCell ref="B485:C485"/>
    <mergeCell ref="B486:C486"/>
    <mergeCell ref="B487:C487"/>
    <mergeCell ref="B488:C488"/>
    <mergeCell ref="B489:C489"/>
    <mergeCell ref="B478:C478"/>
    <mergeCell ref="B479:C479"/>
    <mergeCell ref="B480:C480"/>
    <mergeCell ref="B481:C481"/>
    <mergeCell ref="B482:C482"/>
    <mergeCell ref="B483:C483"/>
    <mergeCell ref="B472:C472"/>
    <mergeCell ref="B473:C473"/>
    <mergeCell ref="B474:C474"/>
    <mergeCell ref="B475:C475"/>
    <mergeCell ref="B476:C476"/>
    <mergeCell ref="B477:C477"/>
    <mergeCell ref="B461:C461"/>
    <mergeCell ref="B463:I463"/>
    <mergeCell ref="A465:I465"/>
    <mergeCell ref="D468:F468"/>
    <mergeCell ref="B470:C471"/>
    <mergeCell ref="G470:H470"/>
    <mergeCell ref="I470:I471"/>
    <mergeCell ref="B449:C449"/>
    <mergeCell ref="B450:C450"/>
    <mergeCell ref="B451:C451"/>
    <mergeCell ref="B452:C452"/>
    <mergeCell ref="B453:C453"/>
    <mergeCell ref="B459:C459"/>
    <mergeCell ref="E424:I424"/>
    <mergeCell ref="D444:F444"/>
    <mergeCell ref="A446:A447"/>
    <mergeCell ref="B446:C447"/>
    <mergeCell ref="G446:H446"/>
    <mergeCell ref="B414:I414"/>
    <mergeCell ref="B415:I415"/>
    <mergeCell ref="B416:I416"/>
    <mergeCell ref="B417:I417"/>
    <mergeCell ref="B419:G419"/>
    <mergeCell ref="B420:C420"/>
    <mergeCell ref="B421:C421"/>
    <mergeCell ref="B422:C422"/>
    <mergeCell ref="B454:C454"/>
    <mergeCell ref="B455:C455"/>
    <mergeCell ref="B456:C456"/>
    <mergeCell ref="B407:I407"/>
    <mergeCell ref="B408:I408"/>
    <mergeCell ref="B409:I409"/>
    <mergeCell ref="B410:I410"/>
    <mergeCell ref="B411:I411"/>
    <mergeCell ref="B412:I412"/>
    <mergeCell ref="B403:C403"/>
    <mergeCell ref="H403:I403"/>
    <mergeCell ref="B404:C404"/>
    <mergeCell ref="H404:I404"/>
    <mergeCell ref="B405:I405"/>
    <mergeCell ref="B406:I406"/>
    <mergeCell ref="B400:C400"/>
    <mergeCell ref="H400:I400"/>
    <mergeCell ref="B401:C401"/>
    <mergeCell ref="H401:I401"/>
    <mergeCell ref="B402:C402"/>
    <mergeCell ref="H402:I402"/>
    <mergeCell ref="A360:I360"/>
    <mergeCell ref="A361:I361"/>
    <mergeCell ref="A363:I363"/>
    <mergeCell ref="B364:I364"/>
    <mergeCell ref="B349:C349"/>
    <mergeCell ref="B351:C351"/>
    <mergeCell ref="B354:C354"/>
    <mergeCell ref="B355:C355"/>
    <mergeCell ref="B356:C356"/>
    <mergeCell ref="B357:C357"/>
    <mergeCell ref="B352:C352"/>
    <mergeCell ref="B353:C353"/>
    <mergeCell ref="B397:C397"/>
    <mergeCell ref="H397:I397"/>
    <mergeCell ref="B398:C398"/>
    <mergeCell ref="H398:I398"/>
    <mergeCell ref="B399:C399"/>
    <mergeCell ref="H399:I399"/>
    <mergeCell ref="A391:I391"/>
    <mergeCell ref="A392:I392"/>
    <mergeCell ref="B304:C304"/>
    <mergeCell ref="B307:C307"/>
    <mergeCell ref="B308:C308"/>
    <mergeCell ref="B309:C309"/>
    <mergeCell ref="B295:C295"/>
    <mergeCell ref="B296:C296"/>
    <mergeCell ref="B297:C297"/>
    <mergeCell ref="B298:C298"/>
    <mergeCell ref="D393:F393"/>
    <mergeCell ref="A395:A396"/>
    <mergeCell ref="B395:C396"/>
    <mergeCell ref="F395:F396"/>
    <mergeCell ref="G395:G396"/>
    <mergeCell ref="H395:I396"/>
    <mergeCell ref="A389:I389"/>
    <mergeCell ref="B368:I368"/>
    <mergeCell ref="B372:I372"/>
    <mergeCell ref="A373:I373"/>
    <mergeCell ref="A375:I375"/>
    <mergeCell ref="A376:I376"/>
    <mergeCell ref="B333:C333"/>
    <mergeCell ref="B334:C334"/>
    <mergeCell ref="B331:C331"/>
    <mergeCell ref="B335:C335"/>
    <mergeCell ref="B336:C336"/>
    <mergeCell ref="B337:C337"/>
    <mergeCell ref="B338:C338"/>
    <mergeCell ref="B310:C310"/>
    <mergeCell ref="A377:I377"/>
    <mergeCell ref="A378:I378"/>
    <mergeCell ref="A365:I365"/>
    <mergeCell ref="B261:C261"/>
    <mergeCell ref="B269:C269"/>
    <mergeCell ref="B270:C270"/>
    <mergeCell ref="B271:C271"/>
    <mergeCell ref="B272:C272"/>
    <mergeCell ref="B275:C275"/>
    <mergeCell ref="B277:C277"/>
    <mergeCell ref="B264:C264"/>
    <mergeCell ref="B323:C323"/>
    <mergeCell ref="B324:C324"/>
    <mergeCell ref="B325:C325"/>
    <mergeCell ref="B327:C327"/>
    <mergeCell ref="B328:C328"/>
    <mergeCell ref="B332:C332"/>
    <mergeCell ref="B317:C317"/>
    <mergeCell ref="B318:C318"/>
    <mergeCell ref="B319:C319"/>
    <mergeCell ref="B320:C320"/>
    <mergeCell ref="B321:C321"/>
    <mergeCell ref="B322:C322"/>
    <mergeCell ref="B329:C329"/>
    <mergeCell ref="B326:C326"/>
    <mergeCell ref="B330:C330"/>
    <mergeCell ref="B312:C312"/>
    <mergeCell ref="B273:C273"/>
    <mergeCell ref="B276:C276"/>
    <mergeCell ref="B289:C289"/>
    <mergeCell ref="B313:C313"/>
    <mergeCell ref="B314:C314"/>
    <mergeCell ref="B315:C315"/>
    <mergeCell ref="B316:C316"/>
    <mergeCell ref="B303:C303"/>
    <mergeCell ref="B262:C262"/>
    <mergeCell ref="B263:C263"/>
    <mergeCell ref="B265:C265"/>
    <mergeCell ref="B266:C266"/>
    <mergeCell ref="B268:C268"/>
    <mergeCell ref="B254:C254"/>
    <mergeCell ref="B256:C256"/>
    <mergeCell ref="B257:C257"/>
    <mergeCell ref="B258:C258"/>
    <mergeCell ref="B259:C259"/>
    <mergeCell ref="B260:C260"/>
    <mergeCell ref="B305:C305"/>
    <mergeCell ref="B299:C299"/>
    <mergeCell ref="I231:I232"/>
    <mergeCell ref="B233:C233"/>
    <mergeCell ref="B234:C234"/>
    <mergeCell ref="B301:C301"/>
    <mergeCell ref="B302:C302"/>
    <mergeCell ref="B288:C288"/>
    <mergeCell ref="B290:C290"/>
    <mergeCell ref="B291:C291"/>
    <mergeCell ref="B292:C292"/>
    <mergeCell ref="B293:C293"/>
    <mergeCell ref="B294:C294"/>
    <mergeCell ref="B278:C278"/>
    <mergeCell ref="B283:C283"/>
    <mergeCell ref="B284:C284"/>
    <mergeCell ref="B285:C285"/>
    <mergeCell ref="B286:C286"/>
    <mergeCell ref="B287:C287"/>
    <mergeCell ref="B267:C267"/>
    <mergeCell ref="B240:C240"/>
    <mergeCell ref="B231:C232"/>
    <mergeCell ref="G231:H231"/>
    <mergeCell ref="B250:C250"/>
    <mergeCell ref="B251:C251"/>
    <mergeCell ref="B252:C252"/>
    <mergeCell ref="B253:C253"/>
    <mergeCell ref="B212:C212"/>
    <mergeCell ref="B214:I214"/>
    <mergeCell ref="A215:I215"/>
    <mergeCell ref="A225:I225"/>
    <mergeCell ref="B227:I227"/>
    <mergeCell ref="A228:I228"/>
    <mergeCell ref="B204:C204"/>
    <mergeCell ref="B207:C207"/>
    <mergeCell ref="B208:C208"/>
    <mergeCell ref="B209:C209"/>
    <mergeCell ref="B210:C210"/>
    <mergeCell ref="B211:C211"/>
    <mergeCell ref="B206:C206"/>
    <mergeCell ref="B249:C249"/>
    <mergeCell ref="B241:C241"/>
    <mergeCell ref="B242:C242"/>
    <mergeCell ref="B243:C243"/>
    <mergeCell ref="B244:C244"/>
    <mergeCell ref="B247:C247"/>
    <mergeCell ref="B248:C248"/>
    <mergeCell ref="B235:C235"/>
    <mergeCell ref="B236:C236"/>
    <mergeCell ref="B237:C237"/>
    <mergeCell ref="B238:C238"/>
    <mergeCell ref="B239:C239"/>
    <mergeCell ref="B192:C192"/>
    <mergeCell ref="B193:C193"/>
    <mergeCell ref="B194:C194"/>
    <mergeCell ref="B195:C195"/>
    <mergeCell ref="B184:C184"/>
    <mergeCell ref="B185:C185"/>
    <mergeCell ref="B186:C186"/>
    <mergeCell ref="B187:C187"/>
    <mergeCell ref="B188:C188"/>
    <mergeCell ref="B189:C189"/>
    <mergeCell ref="B178:C178"/>
    <mergeCell ref="B179:C179"/>
    <mergeCell ref="B180:C180"/>
    <mergeCell ref="B181:C181"/>
    <mergeCell ref="B182:C182"/>
    <mergeCell ref="B183:C183"/>
    <mergeCell ref="D229:F230"/>
    <mergeCell ref="A6:H6"/>
    <mergeCell ref="A3:I3"/>
    <mergeCell ref="A4:I4"/>
    <mergeCell ref="A5:I5"/>
    <mergeCell ref="A2:I2"/>
    <mergeCell ref="A113:I113"/>
    <mergeCell ref="B255:C255"/>
    <mergeCell ref="B172:I172"/>
    <mergeCell ref="A173:I173"/>
    <mergeCell ref="A174:I174"/>
    <mergeCell ref="B176:C177"/>
    <mergeCell ref="G176:H176"/>
    <mergeCell ref="I176:I177"/>
    <mergeCell ref="A119:I119"/>
    <mergeCell ref="A120:I120"/>
    <mergeCell ref="A121:I121"/>
    <mergeCell ref="A123:I123"/>
    <mergeCell ref="A170:I170"/>
    <mergeCell ref="B115:I115"/>
    <mergeCell ref="A116:I116"/>
    <mergeCell ref="A117:I117"/>
    <mergeCell ref="A118:I118"/>
    <mergeCell ref="B196:C196"/>
    <mergeCell ref="B197:C197"/>
    <mergeCell ref="B198:C198"/>
    <mergeCell ref="B199:C199"/>
    <mergeCell ref="B200:C200"/>
    <mergeCell ref="B201:C201"/>
    <mergeCell ref="B58:C58"/>
    <mergeCell ref="A50:H50"/>
    <mergeCell ref="B190:C190"/>
    <mergeCell ref="B191:C191"/>
    <mergeCell ref="B2899:H2899"/>
    <mergeCell ref="B2983:H2983"/>
    <mergeCell ref="B1342:C1342"/>
    <mergeCell ref="B1330:I1330"/>
    <mergeCell ref="B1332:H1332"/>
    <mergeCell ref="E1333:E1334"/>
    <mergeCell ref="B1335:C1336"/>
    <mergeCell ref="G1335:H1335"/>
    <mergeCell ref="I1335:I1336"/>
    <mergeCell ref="B1386:I1386"/>
    <mergeCell ref="A1387:I1387"/>
    <mergeCell ref="A1388:I1388"/>
    <mergeCell ref="A1389:I1389"/>
    <mergeCell ref="E1390:E1391"/>
    <mergeCell ref="B1392:C1393"/>
    <mergeCell ref="G1392:H1392"/>
    <mergeCell ref="I1392:I1393"/>
    <mergeCell ref="A1349:I1349"/>
    <mergeCell ref="A1350:I1350"/>
    <mergeCell ref="A1351:I1351"/>
    <mergeCell ref="A1352:I1352"/>
    <mergeCell ref="A1409:I1409"/>
    <mergeCell ref="A1412:I1412"/>
    <mergeCell ref="E1413:E1414"/>
    <mergeCell ref="B1415:C1416"/>
    <mergeCell ref="G1415:H1415"/>
    <mergeCell ref="I1415:I1416"/>
    <mergeCell ref="A1410:I1410"/>
    <mergeCell ref="A1431:I1431"/>
    <mergeCell ref="A1432:I1432"/>
    <mergeCell ref="B1423:C1423"/>
    <mergeCell ref="B1425:I1425"/>
  </mergeCells>
  <pageMargins left="0.25" right="0.25" top="0.25" bottom="0.25" header="0.25" footer="0.25"/>
  <pageSetup paperSize="9" scale="90" orientation="portrait" verticalDpi="300" r:id="rId1"/>
  <ignoredErrors>
    <ignoredError sqref="G63:G65 E180 E207:F207 E188 E194 E198 E204 D212 D233 A234:C234 A233:C233 E233:I233 F204 F198 F194 F188 I234 F234" numberStoredAsText="1"/>
    <ignoredError sqref="G398:I404 G206 I204:I212 G1509:H1509 I1508:I1509 H1512 G1624 G186:H186 G283:H287 G313:G315 G296:H296 G292:H293 H315 G319 G333:I334 G345:I345 G344 G328:H328 H352:H356 G640 G565:G567 G866 G678:H680 G898:G899 H1186:I1188 G1193:I1200 G1122:G1124 H1121:H1124 G459 G277:H279 G346 H290 G915:G918 G794:H794 G791:H791 I765:I766 G754:I763 I736:I739 H746:H747 G694:I701 G710:H711 G751:I752 G753:H753 H915:H917 G1035:H1035 G1031:I1031 G1032 G1261:G1264 I1273 H1272:I1272 I1266 H1263:I1265 I1255 G1241:G1244 H1250:I1254 H1241:H1243 H1226 I1289 H1397:I1397 G1700:H1700 G1899:H1905 G1870:H1871 G1919:H1920 G2081:H2082 G2290:H2290 G2343:I2347 G2348 G2401:H2401 G2511:H2512 G2525:H2528 G2235:H2235 G2189:H2189 H566:H567 I570 G1072:I1079 G1340:H1342 G1421:H1421 G1451:H1453 G1475:H1477 G1531:H1533 G1564:H1566 G1586:H1588 H1624:H1628 G1649:H1650 G1738:H1739 G1790:H1791 G1843:I1848 G1852:I1852 G1981:H1983 G2009:H2011 G2029:H2030 G2065 G2121:H2123 G2174:H2174 H2453 G2464:H2466 G2589:H2591 G499 H591:H593 I743:I750 G781:I790 G726:H731 G947:H958 G1060:H1067 G1086:I1090 H1283:I1284 I1247 I1249 H1274 G1849:H1850 G2296:H2296 G331:H331 H268 H270:I271 H266 G329:H329 I564:I568 G1238:H1239 H1622 G1620:G1622 H1395:H1396 H1406:I1406 H1398 G452:G453 G1068:I1068 G1169:I1185 G1257:I1258 G2509:H2509 G1251:G1255 I741 I1511:I1513 G1189:I1191 G1232:H1233 G2293:H2293 G1083:H1084 G1081:I1082 G1080:H1080 H1267:I1268 H1399:I1402 I195:I201 H588:H589 I729:I734 G1021:I1023 G1025:I1025 G1027:I1029 G1069:H1069 G1071:H1071 G1236:H1236 G1259 I1259 I1261:I1262 G1246:H1249 G336:G338 I336 H584:H586 G777:I779 G792:I792 G327:H327 G332:H332 G335:H335 G1201:H1201 H1405" evalError="1"/>
    <ignoredError sqref="E681:F681 D919 E2512 F919" formulaRange="1"/>
    <ignoredError sqref="G236:H236 G256:H257 G237:G241 G247:G251 G253:G255 G264:G265 G269 E274 F959:F965 F971 E1011:F1011 D1196 F976:F978 H348:I348 I347 F767 E743:F743 H724 F746:F747 H769 E1263:E1265 D1238 D1248 G1400:G1401 I2292 F974 F741 G243" formula="1"/>
    <ignoredError sqref="H247:H255 G244 G252 G262:H263 H344:I344 G1006:I1011 H337:I338 H347 H346:I346 I791 H776:I776 G767:H768 G770:H770 I768:I769 G743:G747 H1273 H1266 G1402 I1849:I1850 I740 G971:I978 I1248 H269 H264:H265 I265 G258:H260 G741 H237:H244 G959:I969" evalError="1" formula="1"/>
    <ignoredError sqref="E900" formula="1" formulaRange="1"/>
    <ignoredError sqref="G234:H234" evalError="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D18"/>
  <sheetViews>
    <sheetView workbookViewId="0">
      <selection activeCell="D18" sqref="D18"/>
    </sheetView>
  </sheetViews>
  <sheetFormatPr defaultRowHeight="15" x14ac:dyDescent="0.25"/>
  <cols>
    <col min="4" max="4" width="14.28515625" bestFit="1" customWidth="1"/>
  </cols>
  <sheetData>
    <row r="3" spans="4:4" x14ac:dyDescent="0.25">
      <c r="D3">
        <v>310060.03999999998</v>
      </c>
    </row>
    <row r="4" spans="4:4" x14ac:dyDescent="0.25">
      <c r="D4">
        <v>998623.5</v>
      </c>
    </row>
    <row r="5" spans="4:4" x14ac:dyDescent="0.25">
      <c r="D5">
        <v>7485244.9299999997</v>
      </c>
    </row>
    <row r="6" spans="4:4" x14ac:dyDescent="0.25">
      <c r="D6">
        <v>95055</v>
      </c>
    </row>
    <row r="7" spans="4:4" x14ac:dyDescent="0.25">
      <c r="D7">
        <v>409391.93</v>
      </c>
    </row>
    <row r="8" spans="4:4" x14ac:dyDescent="0.25">
      <c r="D8">
        <v>532762.79</v>
      </c>
    </row>
    <row r="9" spans="4:4" x14ac:dyDescent="0.25">
      <c r="D9">
        <v>192800</v>
      </c>
    </row>
    <row r="10" spans="4:4" x14ac:dyDescent="0.25">
      <c r="D10">
        <v>170675.53</v>
      </c>
    </row>
    <row r="11" spans="4:4" x14ac:dyDescent="0.25">
      <c r="D11">
        <v>517667.05</v>
      </c>
    </row>
    <row r="12" spans="4:4" x14ac:dyDescent="0.25">
      <c r="D12">
        <v>11850</v>
      </c>
    </row>
    <row r="13" spans="4:4" x14ac:dyDescent="0.25">
      <c r="D13">
        <v>571427.57999999996</v>
      </c>
    </row>
    <row r="14" spans="4:4" x14ac:dyDescent="0.25">
      <c r="D14">
        <v>1273319.3799999999</v>
      </c>
    </row>
    <row r="15" spans="4:4" x14ac:dyDescent="0.25">
      <c r="D15">
        <v>69590</v>
      </c>
    </row>
    <row r="16" spans="4:4" x14ac:dyDescent="0.25">
      <c r="D16">
        <v>706700.04</v>
      </c>
    </row>
    <row r="17" spans="4:4" x14ac:dyDescent="0.25">
      <c r="D17">
        <v>536679.36</v>
      </c>
    </row>
    <row r="18" spans="4:4" x14ac:dyDescent="0.25">
      <c r="D18" s="464">
        <f>SUM(D3:D17)</f>
        <v>13881847.129999995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2025-01-29T13:19:58Z</dcterms:modified>
</cp:coreProperties>
</file>