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Desktop\VITI 2024\"/>
    </mc:Choice>
  </mc:AlternateContent>
  <xr:revisionPtr revIDLastSave="0" documentId="13_ncr:1_{03DA8E1B-4590-42B1-9867-33077A51A3C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PRANIMET!$A$1:$M$43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G37" i="6" l="1"/>
  <c r="M37" i="6"/>
  <c r="Q36" i="6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C43" i="6" s="1"/>
  <c r="Q42" i="6"/>
  <c r="K42" i="6"/>
  <c r="E42" i="6"/>
  <c r="Q41" i="6"/>
  <c r="K41" i="6"/>
  <c r="F44" i="6"/>
  <c r="R44" i="6"/>
  <c r="K40" i="6"/>
  <c r="E40" i="6"/>
  <c r="Q39" i="6"/>
  <c r="K39" i="6"/>
  <c r="D39" i="6" s="1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D33" i="6" l="1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Participim I fermerve 26998.50euro dhe Donac Sawe dhe Child 3454.38</t>
        </r>
      </text>
    </comment>
  </commentList>
</comments>
</file>

<file path=xl/sharedStrings.xml><?xml version="1.0" encoding="utf-8"?>
<sst xmlns="http://schemas.openxmlformats.org/spreadsheetml/2006/main" count="979" uniqueCount="893">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</sst>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  <numFmt numFmtId="167" formatCode="#,##0.0000000000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2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3" fontId="0" fillId="0" borderId="0" xfId="0" applyNumberFormat="1" applyProtection="1">
      <protection hidden="1"/>
    </xf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38" borderId="49" xfId="1" applyNumberFormat="1" applyFont="1" applyFill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38" borderId="12" xfId="1" applyNumberFormat="1" applyFont="1" applyFill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0" fontId="0" fillId="2" borderId="12" xfId="0" applyFill="1" applyBorder="1"/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1" fillId="2" borderId="12" xfId="0" applyNumberFormat="1" applyFont="1" applyFill="1" applyBorder="1"/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4" fontId="53" fillId="38" borderId="12" xfId="0" applyNumberFormat="1" applyFont="1" applyFill="1" applyBorder="1" applyAlignment="1">
      <alignment horizontal="right" vertical="center" wrapText="1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167" fontId="0" fillId="0" borderId="0" xfId="0" applyNumberFormat="1" applyProtection="1">
      <protection hidden="1"/>
    </xf>
    <xf numFmtId="43" fontId="0" fillId="2" borderId="0" xfId="0" applyNumberFormat="1" applyFill="1" applyAlignment="1">
      <alignment horizontal="center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10" xfId="0" applyFont="1" applyBorder="1" applyAlignment="1">
      <alignment horizontal="center" vertical="center"/>
    </xf>
    <xf numFmtId="16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123825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5"/>
  <sheetViews>
    <sheetView zoomScaleNormal="100" zoomScaleSheetLayoutView="80" workbookViewId="0">
      <pane xSplit="2" ySplit="5" topLeftCell="D11" activePane="bottomRight" state="frozen"/>
      <selection pane="topRight" activeCell="B1" sqref="B1"/>
      <selection pane="bottomLeft" activeCell="A6" sqref="A6"/>
      <selection pane="bottomRight" activeCell="E46" sqref="E46:J56"/>
    </sheetView>
  </sheetViews>
  <sheetFormatPr defaultColWidth="9.140625" defaultRowHeight="15" x14ac:dyDescent="0.25"/>
  <cols>
    <col min="1" max="1" width="5.42578125" style="58" customWidth="1"/>
    <col min="2" max="2" width="21.42578125" style="58" customWidth="1"/>
    <col min="3" max="3" width="15.85546875" style="58" customWidth="1"/>
    <col min="4" max="4" width="14" style="58" customWidth="1"/>
    <col min="5" max="5" width="12.85546875" style="77" customWidth="1"/>
    <col min="6" max="6" width="13.28515625" style="58" customWidth="1"/>
    <col min="7" max="7" width="14.140625" style="58" customWidth="1"/>
    <col min="8" max="8" width="12" style="58" customWidth="1"/>
    <col min="9" max="9" width="12.42578125" style="58" customWidth="1"/>
    <col min="10" max="10" width="15.140625" style="58" customWidth="1"/>
    <col min="11" max="12" width="12" style="58" customWidth="1"/>
    <col min="13" max="13" width="11.28515625" style="58" customWidth="1"/>
    <col min="14" max="14" width="10.140625" style="58" customWidth="1"/>
    <col min="15" max="16" width="11.28515625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9.855468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13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4" t="s">
        <v>876</v>
      </c>
      <c r="B2" s="60"/>
      <c r="C2" s="60"/>
      <c r="D2" s="314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15"/>
      <c r="B3" s="315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15"/>
      <c r="B4" s="315"/>
      <c r="C4" s="62"/>
      <c r="D4" s="64"/>
      <c r="E4" s="67"/>
      <c r="F4" s="69"/>
      <c r="G4" s="68"/>
      <c r="H4" s="68"/>
      <c r="I4" s="68"/>
      <c r="J4" s="68"/>
      <c r="K4" s="319" t="s">
        <v>868</v>
      </c>
      <c r="L4" s="69"/>
      <c r="M4" s="68"/>
      <c r="N4" s="68"/>
      <c r="O4" s="68"/>
      <c r="P4" s="68"/>
      <c r="Q4" s="317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16"/>
      <c r="B5" s="316"/>
      <c r="C5" s="70" t="str">
        <f>IF(L!$A$1=1,L!I4,IF(L!$A$1=2,L!I13,L!I23))</f>
        <v>Gjithsejt Pagesat</v>
      </c>
      <c r="D5" s="93" t="str">
        <f>IF(L!$A$1=1,L!J4,IF(L!$A$1=2,L!J13,L!J23))</f>
        <v>Shpenzimet</v>
      </c>
      <c r="E5" s="93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20"/>
      <c r="L5" s="70" t="s">
        <v>0</v>
      </c>
      <c r="M5" s="70" t="s">
        <v>32</v>
      </c>
      <c r="N5" s="70" t="s">
        <v>33</v>
      </c>
      <c r="O5" s="94" t="s">
        <v>21</v>
      </c>
      <c r="P5" s="70" t="s">
        <v>35</v>
      </c>
      <c r="Q5" s="318"/>
      <c r="R5" s="70" t="s">
        <v>0</v>
      </c>
      <c r="S5" s="70" t="s">
        <v>32</v>
      </c>
      <c r="T5" s="70" t="s">
        <v>33</v>
      </c>
      <c r="U5" s="94" t="s">
        <v>21</v>
      </c>
      <c r="V5" s="70" t="s">
        <v>35</v>
      </c>
    </row>
    <row r="6" spans="1:22" x14ac:dyDescent="0.25">
      <c r="A6" s="307">
        <v>2022</v>
      </c>
      <c r="B6" s="72" t="str">
        <f>IF(L!$A$1=1,L!B218,IF(L!$A$1=2,L!C218,L!D218))</f>
        <v>2022 Janar</v>
      </c>
      <c r="C6" s="202">
        <f t="shared" ref="C6:C31" si="0">E6+K6+Q6</f>
        <v>1140910.2</v>
      </c>
      <c r="D6" s="202">
        <f t="shared" ref="D6:D17" si="1">+E6+K6+Q6</f>
        <v>1140910.2</v>
      </c>
      <c r="E6" s="203">
        <f t="shared" ref="E6:E17" si="2">+F6+G6+H6+I6+J6</f>
        <v>151300.4</v>
      </c>
      <c r="F6" s="204">
        <f>158864.4-7564</f>
        <v>151300.4</v>
      </c>
      <c r="G6" s="205"/>
      <c r="H6" s="205"/>
      <c r="I6" s="205"/>
      <c r="J6" s="206"/>
      <c r="K6" s="98">
        <f t="shared" ref="K6" si="3">SUM(L6:P6)</f>
        <v>755903.54</v>
      </c>
      <c r="L6" s="98">
        <v>755903.54</v>
      </c>
      <c r="M6" s="202"/>
      <c r="N6" s="206"/>
      <c r="O6" s="202"/>
      <c r="P6" s="202"/>
      <c r="Q6" s="202">
        <f t="shared" ref="Q6:Q11" si="4">SUM(R6:V6)</f>
        <v>233706.25999999998</v>
      </c>
      <c r="R6" s="98">
        <v>233706.25999999998</v>
      </c>
      <c r="S6" s="202"/>
      <c r="T6" s="206"/>
      <c r="U6" s="202"/>
      <c r="V6" s="202"/>
    </row>
    <row r="7" spans="1:22" x14ac:dyDescent="0.25">
      <c r="A7" s="308"/>
      <c r="B7" s="72" t="str">
        <f>IF(L!$A$1=1,L!B219,IF(L!$A$1=2,L!C219,L!D219))</f>
        <v>2022 Shkurt</v>
      </c>
      <c r="C7" s="90">
        <f t="shared" si="0"/>
        <v>1793439.4000000001</v>
      </c>
      <c r="D7" s="90">
        <f t="shared" si="1"/>
        <v>1793439.4000000001</v>
      </c>
      <c r="E7" s="207">
        <f t="shared" si="2"/>
        <v>497732.08000000013</v>
      </c>
      <c r="F7" s="208">
        <v>152781.87000000011</v>
      </c>
      <c r="G7" s="140">
        <v>192701.2</v>
      </c>
      <c r="H7" s="209">
        <v>96041.510000000009</v>
      </c>
      <c r="I7" s="140"/>
      <c r="J7" s="167">
        <v>56207.5</v>
      </c>
      <c r="K7" s="90">
        <f t="shared" ref="K7" si="5">SUM(L7:P7)</f>
        <v>958076.13000000012</v>
      </c>
      <c r="L7" s="97">
        <v>781976.54</v>
      </c>
      <c r="M7" s="96">
        <v>156092.79999999999</v>
      </c>
      <c r="N7" s="209">
        <v>20006.79</v>
      </c>
      <c r="O7" s="96"/>
      <c r="P7" s="90"/>
      <c r="Q7" s="90">
        <f t="shared" si="4"/>
        <v>337631.19</v>
      </c>
      <c r="R7" s="90">
        <f>209871.25+46662.62</f>
        <v>256533.87</v>
      </c>
      <c r="S7" s="96">
        <v>56120.67</v>
      </c>
      <c r="T7" s="208">
        <v>24976.65</v>
      </c>
      <c r="U7" s="96"/>
      <c r="V7" s="90"/>
    </row>
    <row r="8" spans="1:22" x14ac:dyDescent="0.25">
      <c r="A8" s="308"/>
      <c r="B8" s="72" t="str">
        <f>IF(L!$A$1=1,L!B220,IF(L!$A$1=2,L!C220,L!D220))</f>
        <v xml:space="preserve">2022 Mars </v>
      </c>
      <c r="C8" s="90">
        <f t="shared" si="0"/>
        <v>2351432.0099999998</v>
      </c>
      <c r="D8" s="90">
        <f t="shared" si="1"/>
        <v>2351432.0099999998</v>
      </c>
      <c r="E8" s="207">
        <f t="shared" si="2"/>
        <v>948598.41999999993</v>
      </c>
      <c r="F8" s="109">
        <v>151863</v>
      </c>
      <c r="G8" s="209">
        <v>267427.14</v>
      </c>
      <c r="H8" s="208">
        <v>48092.480000000003</v>
      </c>
      <c r="I8" s="140">
        <v>57639.199999999997</v>
      </c>
      <c r="J8" s="208">
        <v>423576.6</v>
      </c>
      <c r="K8" s="90">
        <f>SUM(L8:P8)</f>
        <v>1064650.02</v>
      </c>
      <c r="L8" s="208">
        <f>878998.95+451</f>
        <v>879449.95</v>
      </c>
      <c r="M8" s="210">
        <v>165210.89000000001</v>
      </c>
      <c r="N8" s="210">
        <v>19989.18</v>
      </c>
      <c r="O8" s="96"/>
      <c r="P8" s="91"/>
      <c r="Q8" s="90">
        <f t="shared" si="4"/>
        <v>338183.57</v>
      </c>
      <c r="R8" s="90">
        <v>240058.55</v>
      </c>
      <c r="S8" s="209">
        <v>87549.19</v>
      </c>
      <c r="T8" s="96">
        <v>10575.83</v>
      </c>
      <c r="U8" s="96"/>
      <c r="V8" s="90"/>
    </row>
    <row r="9" spans="1:22" x14ac:dyDescent="0.25">
      <c r="A9" s="308"/>
      <c r="B9" s="72" t="str">
        <f>IF(L!$A$1=1,L!B221,IF(L!$A$1=2,L!C221,L!D221))</f>
        <v>2022 Prill</v>
      </c>
      <c r="C9" s="90">
        <f t="shared" si="0"/>
        <v>2187476.3400000003</v>
      </c>
      <c r="D9" s="90">
        <f t="shared" si="1"/>
        <v>2187476.3400000003</v>
      </c>
      <c r="E9" s="207">
        <f t="shared" si="2"/>
        <v>856558.56</v>
      </c>
      <c r="F9" s="208">
        <f>151863.37</f>
        <v>151863.37</v>
      </c>
      <c r="G9" s="139">
        <f>174901-4156</f>
        <v>170745</v>
      </c>
      <c r="H9" s="139">
        <v>50154.64</v>
      </c>
      <c r="I9" s="139">
        <v>47214.92</v>
      </c>
      <c r="J9" s="167">
        <v>436580.63</v>
      </c>
      <c r="K9" s="90">
        <f t="shared" ref="K9:K17" si="6">SUM(L9:P9)</f>
        <v>991210.12000000011</v>
      </c>
      <c r="L9" s="89">
        <v>756819.79</v>
      </c>
      <c r="M9" s="97">
        <v>110070.41</v>
      </c>
      <c r="N9" s="211">
        <v>19995.919999999998</v>
      </c>
      <c r="O9" s="211"/>
      <c r="P9" s="211">
        <v>104324</v>
      </c>
      <c r="Q9" s="90">
        <f t="shared" si="4"/>
        <v>339707.66000000003</v>
      </c>
      <c r="R9" s="211">
        <f>234396.95+3952</f>
        <v>238348.95</v>
      </c>
      <c r="S9" s="90">
        <v>89313.32</v>
      </c>
      <c r="T9" s="209">
        <v>12045.39</v>
      </c>
      <c r="U9" s="90"/>
      <c r="V9" s="90"/>
    </row>
    <row r="10" spans="1:22" x14ac:dyDescent="0.25">
      <c r="A10" s="308"/>
      <c r="B10" s="72" t="str">
        <f>IF(L!$A$1=1,L!B222,IF(L!$A$1=2,L!C222,L!D222))</f>
        <v>2022 Maj</v>
      </c>
      <c r="C10" s="90">
        <f t="shared" si="0"/>
        <v>2138700.69</v>
      </c>
      <c r="D10" s="90">
        <f t="shared" si="1"/>
        <v>2138700.69</v>
      </c>
      <c r="E10" s="207">
        <f t="shared" si="2"/>
        <v>731133.72</v>
      </c>
      <c r="F10" s="112">
        <v>154706.46</v>
      </c>
      <c r="G10" s="119">
        <v>113768.80999999998</v>
      </c>
      <c r="H10" s="119">
        <v>34765.270000000004</v>
      </c>
      <c r="I10" s="139">
        <v>104933</v>
      </c>
      <c r="J10">
        <v>322960.18</v>
      </c>
      <c r="K10" s="90">
        <f t="shared" si="6"/>
        <v>1094981.7</v>
      </c>
      <c r="L10" s="90">
        <v>928393.74</v>
      </c>
      <c r="M10" s="90">
        <v>104957.43000000001</v>
      </c>
      <c r="N10" s="117">
        <v>19998.53</v>
      </c>
      <c r="O10" s="90"/>
      <c r="P10" s="90">
        <v>41632</v>
      </c>
      <c r="Q10" s="90">
        <f t="shared" si="4"/>
        <v>312585.26999999996</v>
      </c>
      <c r="R10" s="90">
        <v>245070.75</v>
      </c>
      <c r="S10" s="209">
        <v>59150.23</v>
      </c>
      <c r="T10" s="90">
        <v>8364.2899999999991</v>
      </c>
      <c r="U10" s="90"/>
      <c r="V10" s="209"/>
    </row>
    <row r="11" spans="1:22" x14ac:dyDescent="0.25">
      <c r="A11" s="308"/>
      <c r="B11" s="72" t="str">
        <f>IF(L!$A$1=1,L!B223,IF(L!$A$1=2,L!C223,L!D223))</f>
        <v>2022 Qershor</v>
      </c>
      <c r="C11" s="90">
        <f t="shared" si="0"/>
        <v>1983375.9899999998</v>
      </c>
      <c r="D11" s="90">
        <f t="shared" si="1"/>
        <v>1983375.9899999998</v>
      </c>
      <c r="E11" s="207">
        <f t="shared" si="2"/>
        <v>771500.37999999989</v>
      </c>
      <c r="F11" s="112">
        <v>156420.35</v>
      </c>
      <c r="G11" s="119">
        <v>149551.69999999998</v>
      </c>
      <c r="H11" s="119">
        <v>47563.000000000007</v>
      </c>
      <c r="I11" s="159">
        <v>80500</v>
      </c>
      <c r="J11" s="209">
        <v>337465.32999999996</v>
      </c>
      <c r="K11" s="90">
        <f t="shared" si="6"/>
        <v>882654.91999999993</v>
      </c>
      <c r="L11" s="90">
        <v>761509.72</v>
      </c>
      <c r="M11" s="90">
        <v>70286.94</v>
      </c>
      <c r="N11" s="90">
        <v>14984.26</v>
      </c>
      <c r="O11" s="90"/>
      <c r="P11" s="90">
        <v>35874</v>
      </c>
      <c r="Q11" s="90">
        <f t="shared" si="4"/>
        <v>329220.68999999994</v>
      </c>
      <c r="R11" s="90">
        <v>233366.21</v>
      </c>
      <c r="S11" s="90">
        <v>75169.119999999995</v>
      </c>
      <c r="T11" s="90">
        <v>8585.36</v>
      </c>
      <c r="U11" s="209">
        <v>12100</v>
      </c>
      <c r="V11" s="90"/>
    </row>
    <row r="12" spans="1:22" x14ac:dyDescent="0.25">
      <c r="A12" s="308"/>
      <c r="B12" s="72" t="str">
        <f>IF(L!$A$1=1,L!B224,IF(L!$A$1=2,L!C224,L!D224))</f>
        <v>2022 Korrik</v>
      </c>
      <c r="C12" s="90">
        <f t="shared" si="0"/>
        <v>2334248.5</v>
      </c>
      <c r="D12" s="90">
        <f t="shared" si="1"/>
        <v>2334248.5</v>
      </c>
      <c r="E12" s="214">
        <f t="shared" si="2"/>
        <v>1185584.02</v>
      </c>
      <c r="F12" s="117">
        <v>152541.15</v>
      </c>
      <c r="G12" s="119">
        <v>222066.14999999997</v>
      </c>
      <c r="H12" s="119">
        <v>31048.269999999997</v>
      </c>
      <c r="I12" s="233">
        <v>114490</v>
      </c>
      <c r="J12" s="213">
        <v>665438.44999999995</v>
      </c>
      <c r="K12" s="90">
        <f t="shared" si="6"/>
        <v>845253.43000000017</v>
      </c>
      <c r="L12" s="90">
        <f>771581.8+1227.56</f>
        <v>772809.3600000001</v>
      </c>
      <c r="M12" s="90">
        <v>62444.549999999988</v>
      </c>
      <c r="N12" s="90">
        <v>9999.52</v>
      </c>
      <c r="O12" s="90"/>
      <c r="P12" s="97"/>
      <c r="Q12" s="90">
        <f>SUM(R12:V12)</f>
        <v>303411.05000000005</v>
      </c>
      <c r="R12" s="90">
        <v>226551.87</v>
      </c>
      <c r="S12" s="117">
        <v>70523.53</v>
      </c>
      <c r="T12" s="90">
        <v>6235.65</v>
      </c>
      <c r="U12" s="90">
        <v>100</v>
      </c>
      <c r="V12" s="97"/>
    </row>
    <row r="13" spans="1:22" x14ac:dyDescent="0.25">
      <c r="A13" s="308"/>
      <c r="B13" s="72" t="str">
        <f>IF(L!$A$1=1,L!B225,IF(L!$A$1=2,L!C225,L!D225))</f>
        <v>2022 Gusht</v>
      </c>
      <c r="C13" s="90">
        <f t="shared" si="0"/>
        <v>1164948.02</v>
      </c>
      <c r="D13" s="90">
        <f t="shared" si="1"/>
        <v>1164948.02</v>
      </c>
      <c r="E13" s="214">
        <f t="shared" si="2"/>
        <v>1046676.48</v>
      </c>
      <c r="F13" s="117"/>
      <c r="G13" s="90">
        <v>146285.08000000002</v>
      </c>
      <c r="H13" s="90">
        <f>39457.32-7500</f>
        <v>31957.32</v>
      </c>
      <c r="I13" s="97">
        <f>20589.2+7500</f>
        <v>28089.200000000001</v>
      </c>
      <c r="J13" s="168">
        <v>840344.88</v>
      </c>
      <c r="K13" s="90">
        <f t="shared" si="6"/>
        <v>61539.75</v>
      </c>
      <c r="L13" s="91"/>
      <c r="M13" s="209">
        <v>51554</v>
      </c>
      <c r="N13" s="91">
        <v>9985.75</v>
      </c>
      <c r="O13" s="91"/>
      <c r="P13" s="209"/>
      <c r="Q13" s="90">
        <f>SUM(R13:V13)</f>
        <v>56731.79</v>
      </c>
      <c r="R13" s="90"/>
      <c r="S13" s="209">
        <v>37998.870000000003</v>
      </c>
      <c r="T13" s="90">
        <v>2752.92</v>
      </c>
      <c r="U13" s="90"/>
      <c r="V13" s="90">
        <v>15980</v>
      </c>
    </row>
    <row r="14" spans="1:22" x14ac:dyDescent="0.25">
      <c r="A14" s="308"/>
      <c r="B14" s="72" t="str">
        <f>IF(L!$A$1=1,L!B226,IF(L!$A$1=2,L!C226,L!D226))</f>
        <v>2022 Shtator</v>
      </c>
      <c r="C14" s="90">
        <f t="shared" si="0"/>
        <v>2896596.21</v>
      </c>
      <c r="D14" s="90">
        <f t="shared" si="1"/>
        <v>2896596.21</v>
      </c>
      <c r="E14" s="214">
        <f t="shared" si="2"/>
        <v>1290157.5699999998</v>
      </c>
      <c r="F14" s="90">
        <v>295133.65000000002</v>
      </c>
      <c r="G14" s="90">
        <v>122187.99000000002</v>
      </c>
      <c r="H14" s="117">
        <v>33332.350000000006</v>
      </c>
      <c r="I14" s="97">
        <f>77782-200</f>
        <v>77582</v>
      </c>
      <c r="J14" s="90">
        <v>761921.58</v>
      </c>
      <c r="K14" s="90">
        <f t="shared" si="6"/>
        <v>1061258.5699999998</v>
      </c>
      <c r="L14" s="90">
        <v>953871.82</v>
      </c>
      <c r="M14" s="90">
        <v>72848.33</v>
      </c>
      <c r="N14" s="117">
        <v>14992.92</v>
      </c>
      <c r="O14" s="90"/>
      <c r="P14" s="90">
        <v>19545.5</v>
      </c>
      <c r="Q14" s="90">
        <f t="shared" ref="Q14:Q17" si="7">SUM(R14:V14)</f>
        <v>545180.07000000007</v>
      </c>
      <c r="R14" s="90">
        <v>469239.88</v>
      </c>
      <c r="S14" s="90">
        <v>40900.879999999997</v>
      </c>
      <c r="T14" s="117">
        <v>7539.31</v>
      </c>
      <c r="U14" s="90">
        <v>12600</v>
      </c>
      <c r="V14" s="90">
        <v>14900</v>
      </c>
    </row>
    <row r="15" spans="1:22" x14ac:dyDescent="0.25">
      <c r="A15" s="308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4">
        <f t="shared" si="2"/>
        <v>1557895.43</v>
      </c>
      <c r="F15" s="117">
        <v>159821.77000000002</v>
      </c>
      <c r="G15" s="117">
        <v>216117.65</v>
      </c>
      <c r="H15" s="117">
        <f>40924.88-9900</f>
        <v>31024.879999999997</v>
      </c>
      <c r="I15" s="208">
        <f>14800+9900</f>
        <v>24700</v>
      </c>
      <c r="J15" s="117">
        <v>1126231.1299999999</v>
      </c>
      <c r="K15" s="73">
        <f t="shared" si="6"/>
        <v>1765359.52</v>
      </c>
      <c r="L15" s="208">
        <v>1571896.36</v>
      </c>
      <c r="M15" s="215">
        <v>112695.46</v>
      </c>
      <c r="N15" s="212">
        <v>10166.700000000001</v>
      </c>
      <c r="O15" s="215"/>
      <c r="P15" s="215">
        <v>70601</v>
      </c>
      <c r="Q15" s="90">
        <f t="shared" si="7"/>
        <v>313461.18</v>
      </c>
      <c r="R15" s="90">
        <v>230721.87999999998</v>
      </c>
      <c r="S15" s="117">
        <v>76863.649999999994</v>
      </c>
      <c r="T15" s="90">
        <v>5875.65</v>
      </c>
      <c r="U15" s="90"/>
      <c r="V15" s="90"/>
    </row>
    <row r="16" spans="1:22" x14ac:dyDescent="0.25">
      <c r="A16" s="308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4">
        <f t="shared" si="2"/>
        <v>1227918.0799999998</v>
      </c>
      <c r="F16" s="216">
        <v>156975.20000000001</v>
      </c>
      <c r="G16" s="72">
        <v>276928.11</v>
      </c>
      <c r="H16" s="208">
        <v>35201.249999999993</v>
      </c>
      <c r="I16" s="88">
        <v>10445</v>
      </c>
      <c r="J16" s="117">
        <v>748368.51999999979</v>
      </c>
      <c r="K16" s="73">
        <f t="shared" si="6"/>
        <v>1215289.8400000001</v>
      </c>
      <c r="L16" s="162">
        <v>903920.09</v>
      </c>
      <c r="M16" s="117">
        <v>141872.82</v>
      </c>
      <c r="N16" s="208">
        <v>11443.61</v>
      </c>
      <c r="O16" s="73"/>
      <c r="P16" s="217">
        <v>158053.32</v>
      </c>
      <c r="Q16" s="73">
        <f t="shared" si="7"/>
        <v>513234.06</v>
      </c>
      <c r="R16" s="208">
        <v>242201.53999999998</v>
      </c>
      <c r="S16" s="73">
        <v>62758.51</v>
      </c>
      <c r="T16" s="208">
        <f>9873.94+1059.76</f>
        <v>10933.7</v>
      </c>
      <c r="U16" s="73"/>
      <c r="V16" s="218">
        <v>197340.31</v>
      </c>
    </row>
    <row r="17" spans="1:22" x14ac:dyDescent="0.25">
      <c r="A17" s="308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4">
        <f t="shared" si="2"/>
        <v>2585511.1700000004</v>
      </c>
      <c r="F17" s="92">
        <v>152754.51</v>
      </c>
      <c r="G17">
        <f>231719.71-4380</f>
        <v>227339.71</v>
      </c>
      <c r="H17" s="90">
        <v>43748.97</v>
      </c>
      <c r="I17" s="208"/>
      <c r="J17" s="73">
        <v>2161667.9800000004</v>
      </c>
      <c r="K17" s="73">
        <f t="shared" si="6"/>
        <v>1223477.33</v>
      </c>
      <c r="L17" s="95">
        <v>756870.89</v>
      </c>
      <c r="M17" s="73">
        <v>172931.12</v>
      </c>
      <c r="N17" s="90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09"/>
      <c r="B18" s="74" t="str">
        <f>IF(L!$A$1=1,L!B230,IF(L!$A$1=2,L!C230,L!D230))</f>
        <v>Gjithsej 2022</v>
      </c>
      <c r="C18" s="200">
        <f t="shared" si="0"/>
        <v>28763575.84</v>
      </c>
      <c r="D18" s="201">
        <f>SUM(D6:D17)</f>
        <v>28763575.84</v>
      </c>
      <c r="E18" s="201">
        <f t="shared" ref="E18" si="8">SUM(E6:E17)</f>
        <v>12850566.310000001</v>
      </c>
      <c r="F18" s="201">
        <f>SUM(F6:F17)</f>
        <v>1836161.73</v>
      </c>
      <c r="G18" s="201">
        <f t="shared" ref="G18:V18" si="9">SUM(G6:G17)</f>
        <v>2105118.54</v>
      </c>
      <c r="H18" s="201">
        <f t="shared" si="9"/>
        <v>482929.94000000006</v>
      </c>
      <c r="I18" s="201">
        <f t="shared" si="9"/>
        <v>545593.32000000007</v>
      </c>
      <c r="J18" s="201">
        <f t="shared" si="9"/>
        <v>7880762.7799999993</v>
      </c>
      <c r="K18" s="201">
        <f t="shared" si="9"/>
        <v>11919654.870000001</v>
      </c>
      <c r="L18" s="226">
        <f t="shared" si="9"/>
        <v>9823421.8000000026</v>
      </c>
      <c r="M18" s="201">
        <f t="shared" si="9"/>
        <v>1220964.75</v>
      </c>
      <c r="N18" s="201">
        <f t="shared" si="9"/>
        <v>160020.99</v>
      </c>
      <c r="O18" s="201">
        <f t="shared" si="9"/>
        <v>0</v>
      </c>
      <c r="P18" s="201">
        <f t="shared" si="9"/>
        <v>715247.33000000007</v>
      </c>
      <c r="Q18" s="201">
        <f t="shared" si="9"/>
        <v>3993354.6600000011</v>
      </c>
      <c r="R18" s="201">
        <f t="shared" si="9"/>
        <v>2840693.2199999997</v>
      </c>
      <c r="S18" s="201">
        <f t="shared" si="9"/>
        <v>715758.57</v>
      </c>
      <c r="T18" s="201">
        <f t="shared" si="9"/>
        <v>110042.55999999998</v>
      </c>
      <c r="U18" s="201">
        <f t="shared" si="9"/>
        <v>24800</v>
      </c>
      <c r="V18" s="201">
        <f t="shared" si="9"/>
        <v>302060.31</v>
      </c>
    </row>
    <row r="19" spans="1:22" x14ac:dyDescent="0.25">
      <c r="A19" s="310">
        <v>2023</v>
      </c>
      <c r="B19" s="72" t="str">
        <f>IF(L!$A$1=1,L!B231,IF(L!$A$1=2,L!C231,L!D231))</f>
        <v>2023 Janar</v>
      </c>
      <c r="C19" s="90">
        <f t="shared" si="0"/>
        <v>1258876.3699999999</v>
      </c>
      <c r="D19" s="90">
        <f t="shared" ref="D19:D30" si="10">+E19+K19+Q19</f>
        <v>1258876.3699999999</v>
      </c>
      <c r="E19" s="108">
        <f t="shared" ref="E19:E30" si="11">+F19+G19+H19+I19+J19</f>
        <v>206144.25</v>
      </c>
      <c r="F19" s="109">
        <v>155205.17000000001</v>
      </c>
      <c r="G19" s="117">
        <v>50939.08</v>
      </c>
      <c r="H19" s="139"/>
      <c r="I19" s="109"/>
      <c r="K19" s="97">
        <f t="shared" ref="K19" si="12">SUM(L19:P19)</f>
        <v>809051.09</v>
      </c>
      <c r="L19" s="98">
        <v>758997.96</v>
      </c>
      <c r="M19" s="142">
        <v>50053.13</v>
      </c>
      <c r="N19" s="146"/>
      <c r="O19" s="147"/>
      <c r="P19" s="147"/>
      <c r="Q19" s="148">
        <f t="shared" ref="Q19:Q24" si="13">SUM(R19:V19)</f>
        <v>243681.03</v>
      </c>
      <c r="R19" s="97">
        <v>225631.27</v>
      </c>
      <c r="S19" s="90">
        <v>18049.759999999998</v>
      </c>
      <c r="T19" s="95"/>
      <c r="U19" s="90"/>
      <c r="V19" s="90"/>
    </row>
    <row r="20" spans="1:22" x14ac:dyDescent="0.25">
      <c r="A20" s="310"/>
      <c r="B20" s="72" t="str">
        <f>IF(L!$A$1=1,L!B232,IF(L!$A$1=2,L!C232,L!D232))</f>
        <v>2023 Shkurt</v>
      </c>
      <c r="C20" s="73">
        <f t="shared" si="0"/>
        <v>2211413.23</v>
      </c>
      <c r="D20" s="90">
        <f t="shared" si="10"/>
        <v>2211413.23</v>
      </c>
      <c r="E20" s="108">
        <f t="shared" si="11"/>
        <v>545392.38</v>
      </c>
      <c r="F20" s="117">
        <v>210390</v>
      </c>
      <c r="G20" s="111">
        <v>189061.04</v>
      </c>
      <c r="H20" s="117">
        <v>100058.59</v>
      </c>
      <c r="I20" s="111">
        <v>11500</v>
      </c>
      <c r="J20" s="117">
        <v>34382.75</v>
      </c>
      <c r="K20" s="73">
        <f t="shared" ref="K20" si="14">SUM(L20:P20)</f>
        <v>1319166.6000000001</v>
      </c>
      <c r="L20" s="97">
        <v>1144159.77</v>
      </c>
      <c r="M20" s="143">
        <v>148955.53</v>
      </c>
      <c r="N20" s="149">
        <v>26051.3</v>
      </c>
      <c r="O20" s="150"/>
      <c r="P20" s="147"/>
      <c r="Q20" s="151">
        <f t="shared" si="13"/>
        <v>346854.25</v>
      </c>
      <c r="R20" s="90">
        <v>265266.90999999997</v>
      </c>
      <c r="S20" s="96">
        <v>61441.57</v>
      </c>
      <c r="T20" s="117">
        <v>20145.77</v>
      </c>
      <c r="U20" s="96"/>
      <c r="V20" s="90"/>
    </row>
    <row r="21" spans="1:22" x14ac:dyDescent="0.25">
      <c r="A21" s="310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8">
        <f t="shared" si="11"/>
        <v>680342.57000000007</v>
      </c>
      <c r="F21" s="109">
        <v>201201.48</v>
      </c>
      <c r="G21" s="117">
        <f>306253.46</f>
        <v>306253.46000000002</v>
      </c>
      <c r="H21" s="117">
        <v>47696.329999999994</v>
      </c>
      <c r="I21" s="111">
        <v>29200</v>
      </c>
      <c r="J21" s="110">
        <v>95991.3</v>
      </c>
      <c r="K21" s="73">
        <f>SUM(L21:P21)</f>
        <v>1332748.9200000002</v>
      </c>
      <c r="L21" s="97">
        <v>1137569.82</v>
      </c>
      <c r="M21" s="144">
        <f>124317.82-120</f>
        <v>124197.82</v>
      </c>
      <c r="N21" s="152">
        <v>24977.279999999999</v>
      </c>
      <c r="O21" s="150"/>
      <c r="P21" s="153">
        <v>46004</v>
      </c>
      <c r="Q21" s="151">
        <f t="shared" si="13"/>
        <v>352409.75</v>
      </c>
      <c r="R21" s="90">
        <v>264294.38</v>
      </c>
      <c r="S21" s="117">
        <v>64747.8</v>
      </c>
      <c r="T21" s="96">
        <v>23367.57</v>
      </c>
      <c r="U21" s="96"/>
      <c r="V21" s="90"/>
    </row>
    <row r="22" spans="1:22" x14ac:dyDescent="0.25">
      <c r="A22" s="310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8">
        <f t="shared" si="11"/>
        <v>624396.1</v>
      </c>
      <c r="F22" s="117">
        <v>205286.71999999997</v>
      </c>
      <c r="G22" s="117">
        <f>200795.43-5809</f>
        <v>194986.43</v>
      </c>
      <c r="H22" s="117">
        <v>41072.239999999998</v>
      </c>
      <c r="I22" s="109">
        <v>50350</v>
      </c>
      <c r="J22" s="110">
        <v>132700.71000000002</v>
      </c>
      <c r="K22" s="73">
        <f t="shared" ref="K22:K30" si="15">SUM(L22:P22)</f>
        <v>1124800.53</v>
      </c>
      <c r="L22" s="97">
        <v>910969.26</v>
      </c>
      <c r="M22" s="145">
        <v>117026.03</v>
      </c>
      <c r="N22" s="154">
        <v>19861.439999999999</v>
      </c>
      <c r="O22" s="154"/>
      <c r="P22" s="58">
        <v>76943.8</v>
      </c>
      <c r="Q22" s="151">
        <f t="shared" si="13"/>
        <v>346561.38999999996</v>
      </c>
      <c r="R22" s="141">
        <v>259424.57</v>
      </c>
      <c r="S22" s="90">
        <v>44086.719999999994</v>
      </c>
      <c r="T22" s="117">
        <v>13050.1</v>
      </c>
      <c r="U22" s="90"/>
      <c r="V22" s="90">
        <v>30000</v>
      </c>
    </row>
    <row r="23" spans="1:22" x14ac:dyDescent="0.25">
      <c r="A23" s="310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8">
        <f t="shared" si="11"/>
        <v>895968.74</v>
      </c>
      <c r="F23" s="117">
        <v>207284.42000000004</v>
      </c>
      <c r="G23" s="112">
        <v>141181.59</v>
      </c>
      <c r="H23" s="119">
        <v>41914.069999999985</v>
      </c>
      <c r="I23" s="112">
        <v>60569</v>
      </c>
      <c r="J23" s="113">
        <v>445019.66</v>
      </c>
      <c r="K23" s="73">
        <f t="shared" si="15"/>
        <v>1104411.98</v>
      </c>
      <c r="L23" s="90">
        <v>919833.93</v>
      </c>
      <c r="M23" s="142">
        <v>168943.39</v>
      </c>
      <c r="N23" s="155">
        <v>15634.66</v>
      </c>
      <c r="O23" s="147"/>
      <c r="P23" s="147"/>
      <c r="Q23" s="151">
        <f t="shared" si="13"/>
        <v>420805.81</v>
      </c>
      <c r="R23" s="90">
        <v>273945.86</v>
      </c>
      <c r="S23" s="117">
        <v>66164.12</v>
      </c>
      <c r="T23" s="90">
        <v>12395.83</v>
      </c>
      <c r="U23" s="90">
        <f>68700-400</f>
        <v>68300</v>
      </c>
      <c r="V23" s="117"/>
    </row>
    <row r="24" spans="1:22" x14ac:dyDescent="0.25">
      <c r="A24" s="310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8">
        <f t="shared" si="11"/>
        <v>1032887.2000000001</v>
      </c>
      <c r="F24" s="112">
        <v>226829.52000000002</v>
      </c>
      <c r="G24" s="112">
        <v>138968.9</v>
      </c>
      <c r="H24" s="117">
        <v>35660.42</v>
      </c>
      <c r="I24" s="112">
        <v>282400</v>
      </c>
      <c r="J24" s="117">
        <f>+J23-J21</f>
        <v>349028.36</v>
      </c>
      <c r="K24" s="73">
        <f t="shared" si="15"/>
        <v>1082061.7</v>
      </c>
      <c r="L24" s="90">
        <v>920241.53</v>
      </c>
      <c r="M24" s="142">
        <v>88304.98</v>
      </c>
      <c r="N24" s="156">
        <v>10627.19</v>
      </c>
      <c r="O24" s="156"/>
      <c r="P24" s="156">
        <v>62888</v>
      </c>
      <c r="Q24" s="157">
        <f t="shared" si="13"/>
        <v>375561.86</v>
      </c>
      <c r="R24" s="90">
        <v>275947.74</v>
      </c>
      <c r="S24" s="90">
        <v>73171.73000000001</v>
      </c>
      <c r="T24" s="90">
        <v>6592.39</v>
      </c>
      <c r="U24" s="90">
        <v>19850</v>
      </c>
      <c r="V24" s="90"/>
    </row>
    <row r="25" spans="1:22" x14ac:dyDescent="0.25">
      <c r="A25" s="310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8">
        <f t="shared" si="11"/>
        <v>1887726.98</v>
      </c>
      <c r="F25" s="117">
        <v>207571.74</v>
      </c>
      <c r="G25" s="119">
        <v>270062.30000000005</v>
      </c>
      <c r="H25" s="119">
        <v>33834.04</v>
      </c>
      <c r="I25" s="95">
        <v>63800</v>
      </c>
      <c r="J25" s="120">
        <v>1312458.8999999999</v>
      </c>
      <c r="K25" s="73">
        <f t="shared" si="15"/>
        <v>2967268.19</v>
      </c>
      <c r="L25" s="90">
        <v>2752521.41</v>
      </c>
      <c r="M25" s="117">
        <v>105949.96</v>
      </c>
      <c r="N25" s="90">
        <v>11869.52</v>
      </c>
      <c r="O25" s="90"/>
      <c r="P25" s="242">
        <v>96927.3</v>
      </c>
      <c r="Q25" s="73">
        <f>SUM(R25:V25)</f>
        <v>407159.06</v>
      </c>
      <c r="R25" s="90">
        <v>294198.92</v>
      </c>
      <c r="S25" s="243">
        <v>68579.569999999992</v>
      </c>
      <c r="T25" s="117">
        <v>5484.17</v>
      </c>
      <c r="U25" s="73"/>
      <c r="V25" s="117">
        <v>38896.400000000001</v>
      </c>
    </row>
    <row r="26" spans="1:22" x14ac:dyDescent="0.25">
      <c r="A26" s="310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8">
        <f t="shared" si="11"/>
        <v>1732806.9700000002</v>
      </c>
      <c r="F26" s="88">
        <v>248671.91999999998</v>
      </c>
      <c r="G26" s="117">
        <v>244576.15000000002</v>
      </c>
      <c r="H26" s="90">
        <v>33129.290000000008</v>
      </c>
      <c r="I26" s="88">
        <v>94545</v>
      </c>
      <c r="J26" s="113">
        <v>1111884.6100000001</v>
      </c>
      <c r="K26" s="73">
        <f t="shared" si="15"/>
        <v>1365954.76</v>
      </c>
      <c r="L26" s="89">
        <v>1257432.0900000001</v>
      </c>
      <c r="M26" s="89">
        <v>57551.43</v>
      </c>
      <c r="N26" s="91">
        <v>10971.24</v>
      </c>
      <c r="O26" s="89"/>
      <c r="P26" s="117">
        <v>40000</v>
      </c>
      <c r="Q26" s="73">
        <f>SUM(R26:V26)</f>
        <v>414126.08999999997</v>
      </c>
      <c r="R26" s="90">
        <v>275474.81</v>
      </c>
      <c r="S26" s="117">
        <v>55032.869999999995</v>
      </c>
      <c r="T26" s="73">
        <v>6118.41</v>
      </c>
      <c r="U26" s="73"/>
      <c r="V26" s="73">
        <v>77500</v>
      </c>
    </row>
    <row r="27" spans="1:22" x14ac:dyDescent="0.25">
      <c r="A27" s="310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8">
        <f t="shared" si="11"/>
        <v>2222802.5300000003</v>
      </c>
      <c r="F27" s="88">
        <v>226562.04</v>
      </c>
      <c r="G27" s="88">
        <f>102074.09-490.26</f>
        <v>101583.83</v>
      </c>
      <c r="H27" s="90">
        <v>33817.61</v>
      </c>
      <c r="I27" s="88">
        <v>92700</v>
      </c>
      <c r="J27" s="88">
        <v>1768139.05</v>
      </c>
      <c r="K27" s="73">
        <f t="shared" si="15"/>
        <v>990144.04999999993</v>
      </c>
      <c r="L27" s="88">
        <v>868263.7</v>
      </c>
      <c r="M27" s="88">
        <v>77959.97</v>
      </c>
      <c r="N27" s="58">
        <v>8568.3799999999992</v>
      </c>
      <c r="O27" s="88"/>
      <c r="P27" s="88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11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8">
        <f t="shared" si="11"/>
        <v>2731428.68</v>
      </c>
      <c r="F28" s="117">
        <f>224612.03-19214.75</f>
        <v>205397.28</v>
      </c>
      <c r="G28" s="88">
        <v>192370.33</v>
      </c>
      <c r="H28" s="90">
        <v>36182.17</v>
      </c>
      <c r="I28" s="88">
        <v>46494.009999999995</v>
      </c>
      <c r="J28" s="88">
        <v>2250984.89</v>
      </c>
      <c r="K28" s="73">
        <f t="shared" si="15"/>
        <v>1439486.23</v>
      </c>
      <c r="L28" s="73">
        <v>940441.9</v>
      </c>
      <c r="M28" s="107">
        <v>129162</v>
      </c>
      <c r="N28" s="138">
        <v>13719.51</v>
      </c>
      <c r="O28" s="107"/>
      <c r="P28" s="107">
        <v>356162.82</v>
      </c>
      <c r="Q28" s="73">
        <f t="shared" si="16"/>
        <v>405310.23000000004</v>
      </c>
      <c r="R28" s="73">
        <v>269825.26</v>
      </c>
      <c r="S28" s="246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11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8">
        <f t="shared" si="11"/>
        <v>2186365.94</v>
      </c>
      <c r="F29" s="114">
        <v>245439.64</v>
      </c>
      <c r="G29" s="115">
        <f>192701.85-1000</f>
        <v>191701.85</v>
      </c>
      <c r="H29" s="90">
        <v>48209.319999999992</v>
      </c>
      <c r="I29" s="88">
        <v>4600</v>
      </c>
      <c r="J29" s="88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90">
        <v>12804.86</v>
      </c>
      <c r="O29" s="73"/>
      <c r="P29" s="160">
        <v>212595.76</v>
      </c>
      <c r="Q29" s="73">
        <f t="shared" si="16"/>
        <v>370401.43</v>
      </c>
      <c r="R29" s="117">
        <v>268380.13</v>
      </c>
      <c r="S29" s="73">
        <v>43254.560000000005</v>
      </c>
      <c r="T29" s="73">
        <v>8556.75</v>
      </c>
      <c r="U29" s="73">
        <v>1400</v>
      </c>
      <c r="V29" s="137">
        <v>48809.99</v>
      </c>
    </row>
    <row r="30" spans="1:22" x14ac:dyDescent="0.25">
      <c r="A30" s="311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8">
        <f t="shared" si="11"/>
        <v>4030276.7100000004</v>
      </c>
      <c r="F30" s="92">
        <v>254333.20000000007</v>
      </c>
      <c r="G30" s="73">
        <v>297272.22000000003</v>
      </c>
      <c r="H30" s="90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90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12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10">
        <v>2024</v>
      </c>
      <c r="B32" s="72" t="s">
        <v>881</v>
      </c>
      <c r="C32" s="202">
        <f t="shared" ref="C32:C44" si="18">E32+K32+Q32</f>
        <v>3596291.4999999995</v>
      </c>
      <c r="D32" s="259">
        <f t="shared" ref="D32:D43" si="19">+E32+K32+Q32</f>
        <v>3596291.4999999995</v>
      </c>
      <c r="E32" s="260">
        <f t="shared" ref="E32:E43" si="20">+F32+G32+H32+I32+J32</f>
        <v>492190.75000000017</v>
      </c>
      <c r="F32" s="261">
        <v>261975.89000000019</v>
      </c>
      <c r="G32" s="204">
        <v>166112.17000000001</v>
      </c>
      <c r="H32" s="205">
        <v>64102.69</v>
      </c>
      <c r="I32" s="261"/>
      <c r="J32" s="262"/>
      <c r="K32" s="98">
        <f t="shared" ref="K32" si="21">SUM(L32:P32)</f>
        <v>2809688.0999999996</v>
      </c>
      <c r="L32" s="98">
        <v>2797371.26</v>
      </c>
      <c r="M32" s="202"/>
      <c r="N32" s="206">
        <v>12316.84</v>
      </c>
      <c r="O32" s="202"/>
      <c r="P32" s="202"/>
      <c r="Q32" s="259">
        <f t="shared" si="16"/>
        <v>294412.65000000002</v>
      </c>
      <c r="R32" s="98">
        <v>276302.08000000002</v>
      </c>
      <c r="S32" s="202">
        <v>1949</v>
      </c>
      <c r="T32" s="206">
        <v>16161.57</v>
      </c>
      <c r="U32" s="202"/>
      <c r="V32" s="202"/>
    </row>
    <row r="33" spans="1:22" x14ac:dyDescent="0.25">
      <c r="A33" s="310"/>
      <c r="B33" s="72" t="s">
        <v>882</v>
      </c>
      <c r="C33" s="73">
        <f t="shared" si="18"/>
        <v>2410968.73</v>
      </c>
      <c r="D33" s="73">
        <f t="shared" si="19"/>
        <v>2410968.73</v>
      </c>
      <c r="E33" s="214">
        <f t="shared" si="20"/>
        <v>944781.66999999993</v>
      </c>
      <c r="F33" s="208">
        <v>233743.21</v>
      </c>
      <c r="G33" s="111">
        <v>387579.9</v>
      </c>
      <c r="H33" s="208">
        <v>58184.62000000001</v>
      </c>
      <c r="I33" s="111">
        <v>39289.199999999997</v>
      </c>
      <c r="J33" s="208">
        <v>225984.74</v>
      </c>
      <c r="K33" s="73">
        <f t="shared" ref="K33" si="22">SUM(L33:P33)</f>
        <v>1090829.27</v>
      </c>
      <c r="L33" s="97">
        <v>957547.44000000006</v>
      </c>
      <c r="M33" s="96">
        <v>111657.40999999999</v>
      </c>
      <c r="N33" s="208">
        <v>21624.42</v>
      </c>
      <c r="O33" s="96"/>
      <c r="P33" s="90"/>
      <c r="Q33" s="73">
        <f t="shared" ref="Q33:Q37" si="23">SUM(R33:V33)</f>
        <v>375357.78999999992</v>
      </c>
      <c r="R33" s="90">
        <v>289980.29999999993</v>
      </c>
      <c r="S33" s="96">
        <v>51823.7</v>
      </c>
      <c r="T33" s="208">
        <v>33553.79</v>
      </c>
      <c r="U33" s="96"/>
      <c r="V33" s="90"/>
    </row>
    <row r="34" spans="1:22" x14ac:dyDescent="0.25">
      <c r="A34" s="310"/>
      <c r="B34" s="72" t="s">
        <v>883</v>
      </c>
      <c r="C34" s="73">
        <f t="shared" si="18"/>
        <v>2680311.94</v>
      </c>
      <c r="D34" s="73">
        <f t="shared" si="19"/>
        <v>2680311.94</v>
      </c>
      <c r="E34" s="214">
        <f t="shared" si="20"/>
        <v>1246859.4299999997</v>
      </c>
      <c r="F34" s="109">
        <v>239779.06</v>
      </c>
      <c r="G34" s="208">
        <v>290913.01999999984</v>
      </c>
      <c r="H34" s="208">
        <v>55014.22</v>
      </c>
      <c r="I34" s="111">
        <v>48050</v>
      </c>
      <c r="J34" s="110">
        <v>613103.13</v>
      </c>
      <c r="K34" s="73">
        <f>SUM(L34:P34)</f>
        <v>1057594.4500000002</v>
      </c>
      <c r="L34" s="97">
        <v>962562.85000000009</v>
      </c>
      <c r="M34" s="210">
        <v>70146.680000000139</v>
      </c>
      <c r="N34" s="210">
        <v>24884.92</v>
      </c>
      <c r="O34" s="96"/>
      <c r="P34" s="72"/>
      <c r="Q34" s="73">
        <f t="shared" si="23"/>
        <v>375858.06</v>
      </c>
      <c r="R34" s="90">
        <v>286150.15999999997</v>
      </c>
      <c r="S34" s="208">
        <v>55593.71</v>
      </c>
      <c r="T34" s="96">
        <v>21114.19</v>
      </c>
      <c r="U34" s="96">
        <v>13000</v>
      </c>
      <c r="V34" s="90"/>
    </row>
    <row r="35" spans="1:22" x14ac:dyDescent="0.25">
      <c r="A35" s="310"/>
      <c r="B35" s="72" t="s">
        <v>884</v>
      </c>
      <c r="C35" s="249">
        <f t="shared" si="18"/>
        <v>3480931.84</v>
      </c>
      <c r="D35" s="249">
        <f t="shared" si="19"/>
        <v>3480931.84</v>
      </c>
      <c r="E35" s="250">
        <f t="shared" si="20"/>
        <v>1344587.52</v>
      </c>
      <c r="F35" s="117">
        <v>233095.45</v>
      </c>
      <c r="G35" s="117">
        <v>252408.84000000003</v>
      </c>
      <c r="H35" s="117">
        <v>73241.459999999992</v>
      </c>
      <c r="I35" s="251">
        <v>124870</v>
      </c>
      <c r="J35" s="252">
        <v>660971.77</v>
      </c>
      <c r="K35" s="249">
        <f t="shared" ref="K35:K43" si="24">SUM(L35:P35)</f>
        <v>1690888.92</v>
      </c>
      <c r="L35" s="253">
        <v>1519666.74</v>
      </c>
      <c r="M35" s="254">
        <v>114882.39999999997</v>
      </c>
      <c r="N35" s="255">
        <v>12279.28</v>
      </c>
      <c r="O35" s="255"/>
      <c r="P35" s="58">
        <v>44060.5</v>
      </c>
      <c r="Q35" s="256">
        <f t="shared" si="23"/>
        <v>445455.39999999997</v>
      </c>
      <c r="R35" s="257">
        <v>281201.8</v>
      </c>
      <c r="S35" s="258">
        <v>91281.17</v>
      </c>
      <c r="T35" s="117">
        <v>12769.58</v>
      </c>
      <c r="U35" s="258">
        <v>16500</v>
      </c>
      <c r="V35" s="258">
        <v>43702.85</v>
      </c>
    </row>
    <row r="36" spans="1:22" x14ac:dyDescent="0.25">
      <c r="A36" s="310"/>
      <c r="B36" s="72" t="s">
        <v>885</v>
      </c>
      <c r="C36" s="73">
        <f t="shared" si="18"/>
        <v>3152540.4</v>
      </c>
      <c r="D36" s="73">
        <f t="shared" si="19"/>
        <v>3152540.4</v>
      </c>
      <c r="E36" s="108">
        <f t="shared" si="20"/>
        <v>1566958.5</v>
      </c>
      <c r="F36" s="117">
        <v>224304.90999999992</v>
      </c>
      <c r="G36" s="112">
        <v>370821</v>
      </c>
      <c r="H36" s="119">
        <v>61640.08</v>
      </c>
      <c r="I36" s="112">
        <v>140044.01</v>
      </c>
      <c r="J36" s="113">
        <v>770148.5</v>
      </c>
      <c r="K36" s="73">
        <f t="shared" si="24"/>
        <v>1169088.6400000001</v>
      </c>
      <c r="L36" s="90">
        <v>1064255.75</v>
      </c>
      <c r="M36" s="142">
        <v>59639.73</v>
      </c>
      <c r="N36" s="155">
        <v>9987.56</v>
      </c>
      <c r="O36" s="147"/>
      <c r="P36" s="147">
        <v>35205.599999999999</v>
      </c>
      <c r="Q36" s="256">
        <f t="shared" si="23"/>
        <v>416493.25999999995</v>
      </c>
      <c r="R36" s="90">
        <v>296993.21999999997</v>
      </c>
      <c r="S36" s="117">
        <v>44988.84</v>
      </c>
      <c r="T36" s="90">
        <v>8011.2</v>
      </c>
      <c r="U36" s="90">
        <v>66500</v>
      </c>
      <c r="V36" s="117"/>
    </row>
    <row r="37" spans="1:22" x14ac:dyDescent="0.25">
      <c r="A37" s="310"/>
      <c r="B37" s="72" t="s">
        <v>886</v>
      </c>
      <c r="C37" s="73">
        <f t="shared" si="18"/>
        <v>3595001.8699999996</v>
      </c>
      <c r="D37" s="73">
        <f t="shared" si="19"/>
        <v>3595001.8699999996</v>
      </c>
      <c r="E37" s="108">
        <f t="shared" si="20"/>
        <v>1159798.76</v>
      </c>
      <c r="F37" s="112">
        <v>221955</v>
      </c>
      <c r="G37" s="112">
        <f>288070.14-500</f>
        <v>287570.14</v>
      </c>
      <c r="H37" s="117">
        <v>45688.87</v>
      </c>
      <c r="I37" s="112">
        <v>80732.679999999993</v>
      </c>
      <c r="J37" s="117">
        <v>523852.07000000007</v>
      </c>
      <c r="K37" s="73">
        <f t="shared" si="24"/>
        <v>2127381.71</v>
      </c>
      <c r="L37" s="90">
        <v>1813966.43</v>
      </c>
      <c r="M37" s="142">
        <f>101158.65+500</f>
        <v>101658.65</v>
      </c>
      <c r="N37" s="156">
        <v>9984.14</v>
      </c>
      <c r="O37" s="156"/>
      <c r="P37" s="156">
        <v>201772.49</v>
      </c>
      <c r="Q37" s="157">
        <f t="shared" si="23"/>
        <v>307821.40000000002</v>
      </c>
      <c r="R37" s="90">
        <v>290440.57</v>
      </c>
      <c r="S37" s="90">
        <v>11252.58</v>
      </c>
      <c r="T37" s="90">
        <v>6128.25</v>
      </c>
      <c r="U37" s="90"/>
      <c r="V37" s="90"/>
    </row>
    <row r="38" spans="1:22" x14ac:dyDescent="0.25">
      <c r="A38" s="310"/>
      <c r="B38" s="72" t="s">
        <v>887</v>
      </c>
      <c r="C38" s="73">
        <f t="shared" si="18"/>
        <v>0</v>
      </c>
      <c r="D38" s="73">
        <f t="shared" si="19"/>
        <v>0</v>
      </c>
      <c r="E38" s="108">
        <f t="shared" si="20"/>
        <v>0</v>
      </c>
      <c r="F38" s="117"/>
      <c r="G38" s="119"/>
      <c r="H38" s="119"/>
      <c r="I38" s="95"/>
      <c r="J38" s="120"/>
      <c r="K38" s="73">
        <f t="shared" si="24"/>
        <v>0</v>
      </c>
      <c r="L38" s="90"/>
      <c r="M38" s="117"/>
      <c r="N38" s="90"/>
      <c r="O38" s="90"/>
      <c r="P38" s="242"/>
      <c r="Q38" s="73">
        <f>SUM(R38:V38)</f>
        <v>0</v>
      </c>
      <c r="R38" s="90"/>
      <c r="S38" s="243"/>
      <c r="T38" s="117"/>
      <c r="U38" s="73"/>
      <c r="V38" s="117"/>
    </row>
    <row r="39" spans="1:22" x14ac:dyDescent="0.25">
      <c r="A39" s="310"/>
      <c r="B39" s="72" t="s">
        <v>888</v>
      </c>
      <c r="C39" s="73">
        <f t="shared" si="18"/>
        <v>0</v>
      </c>
      <c r="D39" s="73">
        <f t="shared" si="19"/>
        <v>0</v>
      </c>
      <c r="E39" s="108">
        <f t="shared" si="20"/>
        <v>0</v>
      </c>
      <c r="F39" s="88"/>
      <c r="G39" s="117"/>
      <c r="H39" s="90"/>
      <c r="I39" s="88"/>
      <c r="J39" s="113"/>
      <c r="K39" s="73">
        <f t="shared" si="24"/>
        <v>0</v>
      </c>
      <c r="L39" s="89"/>
      <c r="M39" s="89"/>
      <c r="N39" s="91"/>
      <c r="O39" s="89"/>
      <c r="P39" s="117"/>
      <c r="Q39" s="73">
        <f>SUM(R39:V39)</f>
        <v>0</v>
      </c>
      <c r="R39" s="90"/>
      <c r="S39" s="117"/>
      <c r="T39" s="73"/>
      <c r="U39" s="73"/>
      <c r="V39" s="73"/>
    </row>
    <row r="40" spans="1:22" x14ac:dyDescent="0.25">
      <c r="A40" s="310"/>
      <c r="B40" s="72" t="s">
        <v>889</v>
      </c>
      <c r="C40" s="73">
        <f t="shared" si="18"/>
        <v>0</v>
      </c>
      <c r="D40" s="73">
        <f t="shared" si="19"/>
        <v>0</v>
      </c>
      <c r="E40" s="108">
        <f t="shared" si="20"/>
        <v>0</v>
      </c>
      <c r="F40" s="88"/>
      <c r="G40" s="88"/>
      <c r="H40" s="90"/>
      <c r="I40" s="88"/>
      <c r="J40" s="88"/>
      <c r="K40" s="73">
        <f t="shared" si="24"/>
        <v>0</v>
      </c>
      <c r="L40" s="88"/>
      <c r="M40" s="88"/>
      <c r="O40" s="88"/>
      <c r="P40" s="88"/>
      <c r="Q40" s="73">
        <f t="shared" ref="Q40:Q43" si="25">SUM(R40:V40)</f>
        <v>0</v>
      </c>
      <c r="R40" s="73"/>
      <c r="S40" s="73"/>
      <c r="T40" s="73"/>
      <c r="U40" s="73"/>
      <c r="V40" s="73"/>
    </row>
    <row r="41" spans="1:22" x14ac:dyDescent="0.25">
      <c r="A41" s="311"/>
      <c r="B41" s="72" t="s">
        <v>890</v>
      </c>
      <c r="C41" s="73">
        <f t="shared" si="18"/>
        <v>0</v>
      </c>
      <c r="D41" s="73">
        <f t="shared" si="19"/>
        <v>0</v>
      </c>
      <c r="E41" s="108">
        <f t="shared" si="20"/>
        <v>0</v>
      </c>
      <c r="F41" s="117"/>
      <c r="G41" s="88"/>
      <c r="H41" s="90"/>
      <c r="I41" s="88"/>
      <c r="J41" s="88"/>
      <c r="K41" s="73">
        <f t="shared" si="24"/>
        <v>0</v>
      </c>
      <c r="L41" s="73"/>
      <c r="M41" s="107"/>
      <c r="N41" s="138"/>
      <c r="O41" s="107"/>
      <c r="P41" s="107"/>
      <c r="Q41" s="73">
        <f t="shared" si="25"/>
        <v>0</v>
      </c>
      <c r="R41" s="73"/>
      <c r="S41" s="246"/>
      <c r="T41" s="73"/>
      <c r="U41" s="73"/>
      <c r="V41" s="73"/>
    </row>
    <row r="42" spans="1:22" x14ac:dyDescent="0.25">
      <c r="A42" s="311"/>
      <c r="B42" s="72" t="s">
        <v>891</v>
      </c>
      <c r="C42" s="73">
        <f t="shared" si="18"/>
        <v>0</v>
      </c>
      <c r="D42" s="73">
        <f t="shared" si="19"/>
        <v>0</v>
      </c>
      <c r="E42" s="108">
        <f t="shared" si="20"/>
        <v>0</v>
      </c>
      <c r="F42" s="114"/>
      <c r="G42" s="115"/>
      <c r="H42" s="90"/>
      <c r="I42" s="88"/>
      <c r="J42" s="88"/>
      <c r="K42" s="73">
        <f t="shared" si="24"/>
        <v>0</v>
      </c>
      <c r="L42" s="73"/>
      <c r="M42" s="73"/>
      <c r="N42" s="90"/>
      <c r="O42" s="73"/>
      <c r="P42" s="160"/>
      <c r="Q42" s="73">
        <f t="shared" si="25"/>
        <v>0</v>
      </c>
      <c r="R42" s="117"/>
      <c r="S42" s="73"/>
      <c r="T42" s="73"/>
      <c r="U42" s="73"/>
      <c r="V42" s="137"/>
    </row>
    <row r="43" spans="1:22" x14ac:dyDescent="0.25">
      <c r="A43" s="311"/>
      <c r="B43" s="72" t="s">
        <v>892</v>
      </c>
      <c r="C43" s="73">
        <f t="shared" si="18"/>
        <v>0</v>
      </c>
      <c r="D43" s="73">
        <f t="shared" si="19"/>
        <v>0</v>
      </c>
      <c r="E43" s="108">
        <f t="shared" si="20"/>
        <v>0</v>
      </c>
      <c r="F43" s="92"/>
      <c r="G43" s="73"/>
      <c r="H43" s="90"/>
      <c r="I43" s="73"/>
      <c r="J43" s="73"/>
      <c r="K43" s="73">
        <f t="shared" si="24"/>
        <v>0</v>
      </c>
      <c r="L43" s="73"/>
      <c r="M43" s="73"/>
      <c r="N43" s="90"/>
      <c r="O43" s="73"/>
      <c r="P43" s="73"/>
      <c r="Q43" s="73">
        <f t="shared" si="25"/>
        <v>0</v>
      </c>
      <c r="R43" s="73"/>
      <c r="S43" s="73"/>
      <c r="T43" s="73"/>
      <c r="U43" s="73"/>
      <c r="V43" s="73"/>
    </row>
    <row r="44" spans="1:22" x14ac:dyDescent="0.25">
      <c r="A44" s="312"/>
      <c r="B44" s="74" t="s">
        <v>880</v>
      </c>
      <c r="C44" s="75">
        <f t="shared" si="18"/>
        <v>18916046.279999997</v>
      </c>
      <c r="D44" s="76">
        <f>SUM(D32:D43)</f>
        <v>18916046.280000001</v>
      </c>
      <c r="E44" s="76">
        <f t="shared" ref="E44:V44" si="26">SUM(E32:E43)</f>
        <v>6755176.629999999</v>
      </c>
      <c r="F44" s="76">
        <f t="shared" si="26"/>
        <v>1414853.52</v>
      </c>
      <c r="G44" s="76">
        <f t="shared" si="26"/>
        <v>1755405.0699999998</v>
      </c>
      <c r="H44" s="76">
        <f t="shared" si="26"/>
        <v>357871.94</v>
      </c>
      <c r="I44" s="76">
        <f t="shared" si="26"/>
        <v>432985.89</v>
      </c>
      <c r="J44" s="76">
        <f t="shared" si="26"/>
        <v>2794060.21</v>
      </c>
      <c r="K44" s="76">
        <f t="shared" si="26"/>
        <v>9945471.0899999999</v>
      </c>
      <c r="L44" s="76">
        <f t="shared" si="26"/>
        <v>9115370.4700000007</v>
      </c>
      <c r="M44" s="76">
        <f t="shared" si="26"/>
        <v>457984.87000000011</v>
      </c>
      <c r="N44" s="76">
        <f t="shared" si="26"/>
        <v>91077.159999999989</v>
      </c>
      <c r="O44" s="76">
        <f t="shared" si="26"/>
        <v>0</v>
      </c>
      <c r="P44" s="76">
        <f t="shared" si="26"/>
        <v>281038.58999999997</v>
      </c>
      <c r="Q44" s="76">
        <f t="shared" si="26"/>
        <v>2215398.56</v>
      </c>
      <c r="R44" s="76">
        <f t="shared" si="26"/>
        <v>1721068.13</v>
      </c>
      <c r="S44" s="76">
        <f t="shared" si="26"/>
        <v>256889</v>
      </c>
      <c r="T44" s="76">
        <f t="shared" si="26"/>
        <v>97738.58</v>
      </c>
      <c r="U44" s="76">
        <f t="shared" si="26"/>
        <v>96000</v>
      </c>
      <c r="V44" s="76">
        <f t="shared" si="26"/>
        <v>43702.85</v>
      </c>
    </row>
    <row r="45" spans="1:22" x14ac:dyDescent="0.25">
      <c r="I45" s="244"/>
    </row>
    <row r="46" spans="1:22" x14ac:dyDescent="0.25">
      <c r="F46" s="162"/>
      <c r="I46" s="162"/>
      <c r="J46" s="162"/>
      <c r="K46" s="162"/>
      <c r="L46" s="162"/>
      <c r="M46" s="162"/>
    </row>
    <row r="47" spans="1:22" x14ac:dyDescent="0.25">
      <c r="E47" s="322"/>
      <c r="F47" s="322"/>
      <c r="G47" s="322"/>
      <c r="H47" s="322"/>
      <c r="I47" s="322"/>
      <c r="R47" s="95"/>
    </row>
    <row r="48" spans="1:22" x14ac:dyDescent="0.25">
      <c r="D48" s="78"/>
      <c r="G48" s="162"/>
      <c r="H48" s="162"/>
      <c r="J48" s="162"/>
      <c r="K48" s="95"/>
    </row>
    <row r="49" spans="5:16" x14ac:dyDescent="0.25">
      <c r="F49" s="162"/>
      <c r="G49" s="162"/>
      <c r="I49" s="162"/>
      <c r="J49" s="162"/>
      <c r="O49" s="162"/>
    </row>
    <row r="50" spans="5:16" x14ac:dyDescent="0.25">
      <c r="G50" s="117"/>
      <c r="H50" s="162"/>
      <c r="J50" s="162"/>
      <c r="O50" s="95"/>
    </row>
    <row r="51" spans="5:16" x14ac:dyDescent="0.25">
      <c r="E51" s="323"/>
      <c r="G51" s="244"/>
      <c r="I51" s="162"/>
      <c r="O51" s="305"/>
    </row>
    <row r="52" spans="5:16" x14ac:dyDescent="0.25">
      <c r="E52" s="323"/>
      <c r="G52" s="244"/>
      <c r="L52" s="78"/>
      <c r="P52" s="95"/>
    </row>
    <row r="53" spans="5:16" x14ac:dyDescent="0.25">
      <c r="E53" s="323"/>
      <c r="P53" s="95"/>
    </row>
    <row r="54" spans="5:16" x14ac:dyDescent="0.25">
      <c r="E54" s="323"/>
      <c r="L54" s="95"/>
    </row>
    <row r="55" spans="5:16" x14ac:dyDescent="0.25">
      <c r="E55" s="323"/>
    </row>
  </sheetData>
  <mergeCells count="8">
    <mergeCell ref="Q4:Q5"/>
    <mergeCell ref="K4:K5"/>
    <mergeCell ref="A6:A18"/>
    <mergeCell ref="A32:A44"/>
    <mergeCell ref="A19:A31"/>
    <mergeCell ref="D1:D2"/>
    <mergeCell ref="B3:B5"/>
    <mergeCell ref="A3:A5"/>
  </mergeCells>
  <phoneticPr fontId="54" type="noConversion"/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tabSelected="1" view="pageBreakPreview" zoomScale="80" zoomScaleNormal="80" zoomScaleSheetLayoutView="80" workbookViewId="0">
      <pane xSplit="2" ySplit="3" topLeftCell="C16" activePane="bottomRight" state="frozen"/>
      <selection pane="topRight" activeCell="C1" sqref="C1"/>
      <selection pane="bottomLeft" activeCell="A9" sqref="A9"/>
      <selection pane="bottomRight" activeCell="L48" sqref="L48:L52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3.42578125" style="1" customWidth="1"/>
    <col min="5" max="5" width="16.7109375" style="1" customWidth="1"/>
    <col min="6" max="6" width="10.85546875" style="1" customWidth="1"/>
    <col min="7" max="7" width="11.5703125" customWidth="1"/>
    <col min="8" max="9" width="12.140625" customWidth="1"/>
    <col min="10" max="10" width="12.7109375" bestFit="1" customWidth="1"/>
    <col min="11" max="11" width="14" customWidth="1"/>
    <col min="12" max="12" width="15.7109375" customWidth="1"/>
    <col min="13" max="13" width="11.7109375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82.5" customHeight="1" x14ac:dyDescent="0.25">
      <c r="A3" s="80" t="str">
        <f>IF(L!$A$1=1,L!G8,IF(L!$A$1=2,L!G18,L!G28))</f>
        <v>Viti</v>
      </c>
      <c r="B3" s="80" t="str">
        <f>IF(L!$A$1=1,L!H8,IF(L!$A$1=2,L!H18,L!H28))</f>
        <v>Viti / Muaji</v>
      </c>
      <c r="C3" s="81" t="str">
        <f>IF(L!$A$1=1,L!I8,IF(L!$A$1=2,L!I18,L!I28))</f>
        <v>Gjithsej Pranimet</v>
      </c>
      <c r="D3" s="54" t="str">
        <f>IF(L!$A$1=1,L!O8,IF(L!$A$1=2,L!O18,L!O28))</f>
        <v xml:space="preserve">Tatimi në pronë </v>
      </c>
      <c r="E3" s="82" t="s">
        <v>870</v>
      </c>
      <c r="F3" s="83" t="s">
        <v>873</v>
      </c>
      <c r="G3" s="54" t="s">
        <v>871</v>
      </c>
      <c r="H3" s="54" t="s">
        <v>878</v>
      </c>
      <c r="I3" s="54" t="s">
        <v>872</v>
      </c>
      <c r="J3" s="54" t="s">
        <v>874</v>
      </c>
      <c r="K3" s="54" t="s">
        <v>875</v>
      </c>
      <c r="L3" s="54" t="s">
        <v>879</v>
      </c>
      <c r="M3" s="54" t="s">
        <v>877</v>
      </c>
    </row>
    <row r="4" spans="1:18" s="1" customFormat="1" ht="15" customHeight="1" x14ac:dyDescent="0.25">
      <c r="A4" s="184"/>
      <c r="B4" s="184"/>
      <c r="C4" s="185"/>
      <c r="D4" s="186"/>
      <c r="E4" s="187"/>
      <c r="F4" s="188"/>
      <c r="G4" s="54"/>
      <c r="H4" s="186"/>
      <c r="I4" s="54"/>
      <c r="J4" s="186"/>
      <c r="K4" s="186"/>
      <c r="L4" s="186"/>
      <c r="M4" s="186"/>
    </row>
    <row r="5" spans="1:18" s="2" customFormat="1" ht="16.5" x14ac:dyDescent="0.3">
      <c r="A5" s="161"/>
      <c r="B5" s="4" t="str">
        <f>IF(L!$A$1=1,L!B218,IF(L!$A$1=2,L!C218,L!D218))</f>
        <v>2022 Janar</v>
      </c>
      <c r="C5" s="123">
        <f>SUM(D5:M5)</f>
        <v>294832.80000000005</v>
      </c>
      <c r="D5" s="191">
        <v>96301.78</v>
      </c>
      <c r="E5" s="192">
        <v>84210.06</v>
      </c>
      <c r="F5" s="123"/>
      <c r="G5" s="164">
        <v>7305.5</v>
      </c>
      <c r="H5" s="124"/>
      <c r="I5" s="165">
        <v>15340</v>
      </c>
      <c r="J5" s="131">
        <v>2884.5</v>
      </c>
      <c r="K5" s="193">
        <v>40312.980000000003</v>
      </c>
      <c r="L5" s="126">
        <v>3274.98</v>
      </c>
      <c r="M5" s="123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23">
        <f>SUM(D6:M6)</f>
        <v>381930.99</v>
      </c>
      <c r="D6" s="99">
        <v>198396.12</v>
      </c>
      <c r="E6" s="100">
        <v>48004.37</v>
      </c>
      <c r="F6" s="123">
        <v>2018</v>
      </c>
      <c r="G6" s="164">
        <v>16114.5</v>
      </c>
      <c r="H6" s="124"/>
      <c r="I6" s="165">
        <v>17300</v>
      </c>
      <c r="J6" s="131">
        <v>12949</v>
      </c>
      <c r="K6" s="194">
        <v>5290</v>
      </c>
      <c r="L6" s="126"/>
      <c r="M6" s="123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7">
        <f>SUM(D7:M7)</f>
        <v>685059.16999999993</v>
      </c>
      <c r="D7" s="103">
        <v>215238.09</v>
      </c>
      <c r="E7" s="104">
        <v>93625.25</v>
      </c>
      <c r="F7" s="197">
        <v>3699.2</v>
      </c>
      <c r="G7" s="179">
        <v>14917.83</v>
      </c>
      <c r="H7" s="128">
        <f>16400+236671.8</f>
        <v>253071.8</v>
      </c>
      <c r="I7" s="195">
        <v>17710</v>
      </c>
      <c r="J7" s="196">
        <v>7786</v>
      </c>
      <c r="K7" s="129">
        <v>6301</v>
      </c>
      <c r="L7" s="227">
        <v>11160</v>
      </c>
      <c r="M7" s="123">
        <f>50390+11160</f>
        <v>61550</v>
      </c>
      <c r="O7" s="116"/>
    </row>
    <row r="8" spans="1:18" s="2" customFormat="1" ht="18.95" customHeight="1" x14ac:dyDescent="0.3">
      <c r="B8" s="4" t="str">
        <f>IF(L!$A$1=1,L!B221,IF(L!$A$1=2,L!C221,L!D221))</f>
        <v>2022 Prill</v>
      </c>
      <c r="C8" s="130">
        <f t="shared" ref="C8:C16" si="0">SUM(D8:M8)</f>
        <v>454678.58</v>
      </c>
      <c r="D8" s="198">
        <v>227811.08</v>
      </c>
      <c r="E8" s="100">
        <v>123589.3</v>
      </c>
      <c r="F8" s="199">
        <v>2642.2</v>
      </c>
      <c r="G8" s="101">
        <v>13092</v>
      </c>
      <c r="H8" s="101"/>
      <c r="I8" s="199">
        <v>14440</v>
      </c>
      <c r="J8" s="199">
        <v>10597</v>
      </c>
      <c r="K8" s="228">
        <v>8612</v>
      </c>
      <c r="L8" s="116"/>
      <c r="M8" s="123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30">
        <f t="shared" si="0"/>
        <v>454201.24</v>
      </c>
      <c r="D9" s="229">
        <v>178185.3</v>
      </c>
      <c r="E9" s="131">
        <v>26557.02</v>
      </c>
      <c r="F9" s="123">
        <v>6569.8</v>
      </c>
      <c r="G9" s="101">
        <v>14445</v>
      </c>
      <c r="H9" s="180"/>
      <c r="I9" s="133">
        <v>17970</v>
      </c>
      <c r="J9" s="125">
        <v>5101.5</v>
      </c>
      <c r="K9" s="230">
        <v>18024</v>
      </c>
      <c r="L9" s="227">
        <v>2832.12</v>
      </c>
      <c r="M9" s="123">
        <v>184516.5</v>
      </c>
      <c r="N9" s="122"/>
      <c r="O9" s="221"/>
      <c r="P9" s="222"/>
      <c r="Q9" s="223"/>
      <c r="R9" s="223"/>
    </row>
    <row r="10" spans="1:18" s="122" customFormat="1" ht="18.95" customHeight="1" x14ac:dyDescent="0.3">
      <c r="A10" s="2"/>
      <c r="B10" s="121" t="str">
        <f>IF(L!$A$1=1,L!B223,IF(L!$A$1=2,L!C223,L!D223))</f>
        <v>2022 Qershor</v>
      </c>
      <c r="C10" s="126">
        <f t="shared" si="0"/>
        <v>654136.63</v>
      </c>
      <c r="D10" s="198">
        <v>156254.29999999999</v>
      </c>
      <c r="E10" s="100">
        <v>112221.06</v>
      </c>
      <c r="F10" s="126">
        <v>5114.8</v>
      </c>
      <c r="G10" s="101">
        <v>14347.27</v>
      </c>
      <c r="H10" s="180">
        <f>230967.2+20685</f>
        <v>251652.2</v>
      </c>
      <c r="I10" s="101">
        <v>24500</v>
      </c>
      <c r="J10" s="219">
        <v>6966</v>
      </c>
      <c r="K10" s="220">
        <v>18838</v>
      </c>
      <c r="L10" s="126"/>
      <c r="M10" s="126">
        <v>64243</v>
      </c>
      <c r="N10" s="2"/>
      <c r="O10" s="2"/>
      <c r="P10" s="2"/>
      <c r="Q10" s="224"/>
      <c r="R10" s="225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23">
        <f t="shared" si="0"/>
        <v>599259.66</v>
      </c>
      <c r="D11" s="229">
        <v>261988.81</v>
      </c>
      <c r="E11" s="100">
        <v>102178.47</v>
      </c>
      <c r="F11" s="123">
        <v>14621.8</v>
      </c>
      <c r="G11" s="101">
        <v>15265</v>
      </c>
      <c r="H11" s="181"/>
      <c r="I11" s="101">
        <v>23120</v>
      </c>
      <c r="J11" s="102">
        <v>8983</v>
      </c>
      <c r="K11" s="126">
        <v>1642</v>
      </c>
      <c r="L11" s="126">
        <v>108124.58</v>
      </c>
      <c r="M11" s="126">
        <f>64243-907</f>
        <v>63336</v>
      </c>
      <c r="P11" s="116"/>
    </row>
    <row r="12" spans="1:18" s="2" customFormat="1" ht="18.95" customHeight="1" x14ac:dyDescent="0.3">
      <c r="B12" s="4" t="str">
        <f>IF(L!$A$1=1,L!B225,IF(L!$A$1=2,L!C225,L!D225))</f>
        <v>2022 Gusht</v>
      </c>
      <c r="C12" s="123">
        <f t="shared" si="0"/>
        <v>480900.04</v>
      </c>
      <c r="D12" s="198">
        <v>311945.67</v>
      </c>
      <c r="E12" s="100">
        <v>11805.869999999999</v>
      </c>
      <c r="F12" s="199">
        <v>2097</v>
      </c>
      <c r="G12" s="101">
        <v>20709</v>
      </c>
      <c r="H12" s="131"/>
      <c r="I12" s="133">
        <v>24700</v>
      </c>
      <c r="J12" s="102">
        <v>13146.5</v>
      </c>
      <c r="K12" s="126">
        <v>174</v>
      </c>
      <c r="L12" s="126">
        <v>540</v>
      </c>
      <c r="M12" s="123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23">
        <f t="shared" si="0"/>
        <v>701925.79</v>
      </c>
      <c r="D13" s="99">
        <v>159726.47</v>
      </c>
      <c r="E13" s="100">
        <v>26250.09</v>
      </c>
      <c r="F13" s="137">
        <v>3857</v>
      </c>
      <c r="G13" s="101">
        <v>12848</v>
      </c>
      <c r="H13" s="101">
        <f>286922+13268</f>
        <v>300190</v>
      </c>
      <c r="I13" s="133">
        <v>22250</v>
      </c>
      <c r="J13" s="131">
        <v>9201.5</v>
      </c>
      <c r="K13" s="133">
        <v>201</v>
      </c>
      <c r="L13" s="166">
        <v>106127.73</v>
      </c>
      <c r="M13" s="123">
        <v>61274</v>
      </c>
      <c r="O13" s="116"/>
      <c r="P13" s="116"/>
    </row>
    <row r="14" spans="1:18" s="2" customFormat="1" ht="18.95" customHeight="1" x14ac:dyDescent="0.3">
      <c r="B14" s="4" t="str">
        <f>IF(L!$A$1=1,L!B227,IF(L!$A$1=2,L!C227,L!D227))</f>
        <v>2022 Tetor</v>
      </c>
      <c r="C14" s="123">
        <f t="shared" si="0"/>
        <v>352161.36000000004</v>
      </c>
      <c r="D14" s="198">
        <v>196166.74</v>
      </c>
      <c r="E14" s="100">
        <v>31912.639999999999</v>
      </c>
      <c r="F14" s="123">
        <v>692.9</v>
      </c>
      <c r="G14" s="101">
        <v>15440</v>
      </c>
      <c r="H14" s="159"/>
      <c r="I14" s="133">
        <v>20215</v>
      </c>
      <c r="J14" s="102">
        <v>7697.5</v>
      </c>
      <c r="K14" s="132">
        <v>4677</v>
      </c>
      <c r="L14" s="132">
        <v>1328.58</v>
      </c>
      <c r="M14" s="123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73">
        <f t="shared" si="0"/>
        <v>215026.94</v>
      </c>
      <c r="D15" s="231">
        <v>91354.75</v>
      </c>
      <c r="E15" s="232">
        <v>12095.69</v>
      </c>
      <c r="F15" s="231">
        <v>3661</v>
      </c>
      <c r="G15" s="101">
        <v>14547</v>
      </c>
      <c r="H15" s="174"/>
      <c r="I15" s="101">
        <v>20115</v>
      </c>
      <c r="J15" s="102">
        <v>7416.5</v>
      </c>
      <c r="K15" s="182">
        <v>8618</v>
      </c>
      <c r="L15" s="87"/>
      <c r="M15" s="173">
        <v>57219</v>
      </c>
      <c r="P15" s="116"/>
    </row>
    <row r="16" spans="1:18" s="2" customFormat="1" ht="18.95" customHeight="1" x14ac:dyDescent="0.25">
      <c r="B16" s="4" t="str">
        <f>IF(L!$A$1=1,L!B229,IF(L!$A$1=2,L!C229,L!D229))</f>
        <v>2022 Dhjetor</v>
      </c>
      <c r="C16" s="175">
        <f t="shared" si="0"/>
        <v>748877.51</v>
      </c>
      <c r="D16" s="106">
        <v>261135.13</v>
      </c>
      <c r="E16" s="175">
        <v>105756.18</v>
      </c>
      <c r="F16" s="175">
        <v>12184.2</v>
      </c>
      <c r="G16" s="183">
        <v>15047</v>
      </c>
      <c r="H16" s="175">
        <f>211577+17245</f>
        <v>228822</v>
      </c>
      <c r="I16" s="175">
        <v>21845</v>
      </c>
      <c r="J16" s="234">
        <v>12136</v>
      </c>
      <c r="K16" s="175">
        <v>9913</v>
      </c>
      <c r="L16" s="175">
        <v>2402</v>
      </c>
      <c r="M16" s="175">
        <v>79637</v>
      </c>
    </row>
    <row r="17" spans="1:16" s="2" customFormat="1" ht="18.95" customHeight="1" x14ac:dyDescent="0.25">
      <c r="B17" s="189" t="str">
        <f>IF(L!$A$1=1,L!B230,IF(L!$A$1=2,L!C230,L!D230))</f>
        <v>Gjithsej 2022</v>
      </c>
      <c r="C17" s="190">
        <f>SUM(C5:C16)</f>
        <v>6022990.7100000009</v>
      </c>
      <c r="D17" s="190">
        <f t="shared" ref="D17:L17" si="1">SUM(D5:D16)</f>
        <v>2354504.2399999998</v>
      </c>
      <c r="E17" s="190">
        <f t="shared" si="1"/>
        <v>778206</v>
      </c>
      <c r="F17" s="190">
        <f t="shared" si="1"/>
        <v>57157.900000000009</v>
      </c>
      <c r="G17" s="190">
        <f t="shared" si="1"/>
        <v>174078.1</v>
      </c>
      <c r="H17" s="190">
        <f t="shared" si="1"/>
        <v>1033736</v>
      </c>
      <c r="I17" s="190">
        <f t="shared" si="1"/>
        <v>239505</v>
      </c>
      <c r="J17" s="190">
        <f t="shared" si="1"/>
        <v>104865</v>
      </c>
      <c r="K17" s="190">
        <f t="shared" si="1"/>
        <v>122602.98000000001</v>
      </c>
      <c r="L17" s="190">
        <f t="shared" si="1"/>
        <v>235789.98999999996</v>
      </c>
      <c r="M17" s="190">
        <f>SUM(M5:M16)</f>
        <v>922545.5</v>
      </c>
      <c r="O17" s="116"/>
    </row>
    <row r="18" spans="1:16" s="2" customFormat="1" ht="16.5" x14ac:dyDescent="0.3">
      <c r="A18" s="321">
        <v>2023</v>
      </c>
      <c r="B18" s="4" t="str">
        <f>IF(L!$A$1=1,L!B231,IF(L!$A$1=2,L!C231,L!D231))</f>
        <v>2023 Janar</v>
      </c>
      <c r="C18" s="123">
        <f>SUM(D18:M18)</f>
        <v>383842.11</v>
      </c>
      <c r="D18" s="99">
        <v>143980.53</v>
      </c>
      <c r="E18" s="100">
        <v>12039.71</v>
      </c>
      <c r="F18" s="123">
        <v>23304</v>
      </c>
      <c r="G18" s="134">
        <v>11948</v>
      </c>
      <c r="H18" s="124"/>
      <c r="I18" s="135">
        <v>17285</v>
      </c>
      <c r="J18" s="125">
        <v>5787</v>
      </c>
      <c r="K18" s="126">
        <v>43606</v>
      </c>
      <c r="L18" s="126">
        <v>1509.87</v>
      </c>
      <c r="M18" s="123">
        <f>142307-17285-640</f>
        <v>124382</v>
      </c>
      <c r="N18" s="116"/>
    </row>
    <row r="19" spans="1:16" s="2" customFormat="1" ht="16.5" x14ac:dyDescent="0.3">
      <c r="A19" s="321"/>
      <c r="B19" s="4" t="str">
        <f>IF(L!$A$1=1,L!B232,IF(L!$A$1=2,L!C232,L!D232))</f>
        <v>2023 Shkurt</v>
      </c>
      <c r="C19" s="127">
        <f>SUM(D19:M19)</f>
        <v>583569.27</v>
      </c>
      <c r="D19" s="103">
        <v>152022.98000000001</v>
      </c>
      <c r="E19" s="104">
        <v>56784.21</v>
      </c>
      <c r="F19" s="127">
        <v>822</v>
      </c>
      <c r="G19" s="105">
        <v>11903</v>
      </c>
      <c r="H19" s="128"/>
      <c r="I19" s="105">
        <v>17355</v>
      </c>
      <c r="J19" s="170">
        <v>8986</v>
      </c>
      <c r="K19" s="129">
        <v>7396</v>
      </c>
      <c r="L19" s="129">
        <f>1006.58+2358+155524.5</f>
        <v>158889.07999999999</v>
      </c>
      <c r="M19" s="123">
        <v>169411</v>
      </c>
      <c r="N19" s="116"/>
    </row>
    <row r="20" spans="1:16" s="2" customFormat="1" ht="16.5" x14ac:dyDescent="0.3">
      <c r="A20" s="321"/>
      <c r="B20" s="4" t="str">
        <f>IF(L!$A$1=1,L!B233,IF(L!$A$1=2,L!C233,L!D233))</f>
        <v xml:space="preserve">2023 Mars </v>
      </c>
      <c r="C20" s="130">
        <f t="shared" ref="C20:C30" si="2">SUM(D20:M20)</f>
        <v>861043.16</v>
      </c>
      <c r="D20" s="131">
        <v>214342.43</v>
      </c>
      <c r="E20" s="236">
        <v>138490.56</v>
      </c>
      <c r="F20" s="123">
        <v>1674</v>
      </c>
      <c r="G20" s="101">
        <v>14614</v>
      </c>
      <c r="H20" s="101">
        <f>216452+17605</f>
        <v>234057</v>
      </c>
      <c r="I20" s="136">
        <v>21835</v>
      </c>
      <c r="J20" s="235">
        <v>9414</v>
      </c>
      <c r="K20" s="235">
        <v>8327</v>
      </c>
      <c r="L20" s="237">
        <v>145607.17000000001</v>
      </c>
      <c r="M20" s="123">
        <v>72682</v>
      </c>
      <c r="N20" s="116"/>
    </row>
    <row r="21" spans="1:16" s="2" customFormat="1" ht="16.5" x14ac:dyDescent="0.3">
      <c r="A21" s="321"/>
      <c r="B21" s="4" t="str">
        <f>IF(L!$A$1=1,L!B234,IF(L!$A$1=2,L!C234,L!D234))</f>
        <v>2023 Prill</v>
      </c>
      <c r="C21" s="130">
        <f t="shared" si="2"/>
        <v>652276.07999999996</v>
      </c>
      <c r="D21" s="169">
        <v>466021.41</v>
      </c>
      <c r="E21" s="125">
        <v>72044.47</v>
      </c>
      <c r="F21" s="123">
        <v>3866.38</v>
      </c>
      <c r="G21" s="101">
        <v>10346</v>
      </c>
      <c r="H21" s="171"/>
      <c r="I21" s="136">
        <v>15500</v>
      </c>
      <c r="J21" s="199">
        <v>7481.5</v>
      </c>
      <c r="K21" s="132">
        <v>8139</v>
      </c>
      <c r="L21" s="132">
        <v>3696.72</v>
      </c>
      <c r="M21" s="123">
        <v>65180.6</v>
      </c>
      <c r="N21" s="116"/>
    </row>
    <row r="22" spans="1:16" s="122" customFormat="1" ht="16.5" x14ac:dyDescent="0.3">
      <c r="A22" s="321"/>
      <c r="B22" s="121" t="str">
        <f>IF(L!$A$1=1,L!B235,IF(L!$A$1=2,L!C235,L!D235))</f>
        <v>2023 Maj</v>
      </c>
      <c r="C22" s="126">
        <f t="shared" si="2"/>
        <v>684147.41</v>
      </c>
      <c r="D22" s="125">
        <v>484199.7</v>
      </c>
      <c r="E22" s="100">
        <v>64778.11</v>
      </c>
      <c r="F22" s="126">
        <v>6765.1</v>
      </c>
      <c r="G22" s="238">
        <v>16017.5</v>
      </c>
      <c r="H22" s="171"/>
      <c r="I22" s="101">
        <v>20060</v>
      </c>
      <c r="J22" s="102">
        <v>9085</v>
      </c>
      <c r="K22" s="126">
        <v>17816</v>
      </c>
      <c r="L22" s="126"/>
      <c r="M22" s="126">
        <v>65426</v>
      </c>
      <c r="N22" s="116"/>
    </row>
    <row r="23" spans="1:16" s="2" customFormat="1" ht="16.5" x14ac:dyDescent="0.3">
      <c r="A23" s="321"/>
      <c r="B23" s="4" t="str">
        <f>IF(L!$A$1=1,L!B236,IF(L!$A$1=2,L!C236,L!D236))</f>
        <v>2023 Qershor</v>
      </c>
      <c r="C23" s="123">
        <f t="shared" si="2"/>
        <v>380531.57999999996</v>
      </c>
      <c r="D23" s="169">
        <v>109813.72</v>
      </c>
      <c r="E23" s="100">
        <v>22748.81</v>
      </c>
      <c r="F23" s="123">
        <v>146</v>
      </c>
      <c r="G23" s="241">
        <v>13809</v>
      </c>
      <c r="H23" s="172"/>
      <c r="I23" s="198">
        <v>23520</v>
      </c>
      <c r="J23" s="102">
        <v>6725.5</v>
      </c>
      <c r="K23" s="239">
        <v>20839</v>
      </c>
      <c r="L23" s="240">
        <v>7859.55</v>
      </c>
      <c r="M23" s="123">
        <v>175070</v>
      </c>
      <c r="N23" s="116"/>
      <c r="O23" s="116"/>
    </row>
    <row r="24" spans="1:16" s="2" customFormat="1" ht="16.5" x14ac:dyDescent="0.3">
      <c r="A24" s="321"/>
      <c r="B24" s="4" t="str">
        <f>IF(L!$A$1=1,L!B237,IF(L!$A$1=2,L!C237,L!D237))</f>
        <v>2023 Korrik</v>
      </c>
      <c r="C24" s="158">
        <f t="shared" si="2"/>
        <v>539077.85</v>
      </c>
      <c r="D24" s="245">
        <v>176202.43</v>
      </c>
      <c r="E24" s="100">
        <v>13709.06</v>
      </c>
      <c r="F24" s="123">
        <v>9167.2999999999993</v>
      </c>
      <c r="G24" s="101">
        <v>14706</v>
      </c>
      <c r="H24" s="131">
        <v>203039</v>
      </c>
      <c r="I24" s="133">
        <v>25995</v>
      </c>
      <c r="J24" s="102">
        <v>7239.5</v>
      </c>
      <c r="K24" s="126">
        <v>3199</v>
      </c>
      <c r="L24" s="126">
        <f>4517+1642.08</f>
        <v>6159.08</v>
      </c>
      <c r="M24" s="123">
        <f>85820.48-6159</f>
        <v>79661.48</v>
      </c>
      <c r="N24" s="116"/>
      <c r="O24" s="116"/>
    </row>
    <row r="25" spans="1:16" s="2" customFormat="1" ht="16.5" x14ac:dyDescent="0.3">
      <c r="A25" s="321"/>
      <c r="B25" s="4" t="str">
        <f>IF(L!$A$1=1,L!B238,IF(L!$A$1=2,L!C238,L!D238))</f>
        <v>2023 Gusht</v>
      </c>
      <c r="C25" s="158">
        <f t="shared" si="2"/>
        <v>436454.02</v>
      </c>
      <c r="D25" s="198">
        <v>257000.42</v>
      </c>
      <c r="E25" s="236">
        <v>14895.08</v>
      </c>
      <c r="F25" s="123">
        <v>7955</v>
      </c>
      <c r="G25" s="101">
        <v>20347</v>
      </c>
      <c r="H25" s="101"/>
      <c r="I25" s="136">
        <v>27340</v>
      </c>
      <c r="J25" s="125">
        <v>12097.5</v>
      </c>
      <c r="K25" s="136">
        <v>1630</v>
      </c>
      <c r="L25" s="163">
        <f>33600+82.11</f>
        <v>33682.11</v>
      </c>
      <c r="M25" s="123">
        <v>61506.91</v>
      </c>
      <c r="N25" s="116"/>
      <c r="P25" s="118"/>
    </row>
    <row r="26" spans="1:16" s="2" customFormat="1" ht="16.5" x14ac:dyDescent="0.3">
      <c r="A26" s="321"/>
      <c r="B26" s="4" t="str">
        <f>IF(L!$A$1=1,L!B239,IF(L!$A$1=2,L!C239,L!D239))</f>
        <v>2023 Shtator</v>
      </c>
      <c r="C26" s="123">
        <f t="shared" si="2"/>
        <v>419095.42</v>
      </c>
      <c r="D26" s="169">
        <v>224138.28</v>
      </c>
      <c r="E26" s="100">
        <v>79956.84</v>
      </c>
      <c r="F26" s="123">
        <v>1325.8</v>
      </c>
      <c r="G26" s="101">
        <v>15669</v>
      </c>
      <c r="H26" s="159"/>
      <c r="I26" s="133">
        <v>24595</v>
      </c>
      <c r="J26" s="102">
        <v>8293.5</v>
      </c>
      <c r="K26" s="132">
        <v>6922</v>
      </c>
      <c r="L26" s="132"/>
      <c r="M26" s="123">
        <v>58195</v>
      </c>
      <c r="N26" s="116"/>
      <c r="O26" s="116"/>
    </row>
    <row r="27" spans="1:16" s="2" customFormat="1" ht="16.5" x14ac:dyDescent="0.3">
      <c r="A27" s="321"/>
      <c r="B27" s="4" t="str">
        <f>IF(L!$A$1=1,L!B240,IF(L!$A$1=2,L!C240,L!D240))</f>
        <v>2023 Tetor</v>
      </c>
      <c r="C27" s="173">
        <f t="shared" si="2"/>
        <v>684201.33</v>
      </c>
      <c r="D27" s="106">
        <v>203914.93</v>
      </c>
      <c r="E27" s="100">
        <v>50912.2</v>
      </c>
      <c r="F27" s="173">
        <v>3451.5</v>
      </c>
      <c r="G27" s="101">
        <v>12553</v>
      </c>
      <c r="H27" s="174">
        <f>13440+256070</f>
        <v>269510</v>
      </c>
      <c r="I27" s="101">
        <v>25465</v>
      </c>
      <c r="J27" s="102">
        <v>9991.5</v>
      </c>
      <c r="K27" s="87">
        <v>10558</v>
      </c>
      <c r="L27" s="87">
        <v>39612.199999999997</v>
      </c>
      <c r="M27" s="173">
        <v>58233</v>
      </c>
      <c r="N27" s="116"/>
      <c r="P27" s="116"/>
    </row>
    <row r="28" spans="1:16" s="2" customFormat="1" ht="15.75" thickBot="1" x14ac:dyDescent="0.3">
      <c r="A28" s="321"/>
      <c r="B28" s="4" t="str">
        <f>IF(L!$A$1=1,L!B241,IF(L!$A$1=2,L!C241,L!D241))</f>
        <v xml:space="preserve">2023 Nëntor </v>
      </c>
      <c r="C28" s="175">
        <f t="shared" si="2"/>
        <v>247804.3</v>
      </c>
      <c r="D28" s="106">
        <v>110748.67</v>
      </c>
      <c r="E28" s="248">
        <v>17918.84</v>
      </c>
      <c r="F28" s="175">
        <v>2061.1</v>
      </c>
      <c r="G28" s="175">
        <v>25806</v>
      </c>
      <c r="H28" s="175"/>
      <c r="I28" s="175">
        <v>21370</v>
      </c>
      <c r="J28" s="175">
        <v>9575.5</v>
      </c>
      <c r="K28" s="175">
        <v>8431</v>
      </c>
      <c r="L28" s="175">
        <v>1724.19</v>
      </c>
      <c r="M28" s="175">
        <v>50169</v>
      </c>
      <c r="N28" s="116"/>
      <c r="P28" s="116"/>
    </row>
    <row r="29" spans="1:16" s="2" customFormat="1" ht="21.75" customHeight="1" thickBot="1" x14ac:dyDescent="0.35">
      <c r="A29" s="321"/>
      <c r="B29" s="4" t="str">
        <f>IF(L!$A$1=1,L!B242,IF(L!$A$1=2,L!C242,L!D242))</f>
        <v>2023 Dhjetor</v>
      </c>
      <c r="C29" s="175">
        <f t="shared" si="2"/>
        <v>560136.59000000008</v>
      </c>
      <c r="D29" s="106">
        <v>218620.89</v>
      </c>
      <c r="E29" s="248">
        <v>80281.509999999995</v>
      </c>
      <c r="F29" s="247">
        <v>45097.36</v>
      </c>
      <c r="G29" s="175">
        <v>-712.8</v>
      </c>
      <c r="H29" s="175"/>
      <c r="I29" s="175">
        <v>21940</v>
      </c>
      <c r="J29" s="176">
        <v>12248</v>
      </c>
      <c r="K29" s="177">
        <v>9597</v>
      </c>
      <c r="L29" s="178"/>
      <c r="M29" s="175">
        <v>173064.63</v>
      </c>
      <c r="P29" s="118"/>
    </row>
    <row r="30" spans="1:16" s="2" customFormat="1" x14ac:dyDescent="0.25">
      <c r="A30" s="321"/>
      <c r="B30" s="5" t="str">
        <f>IF(L!$A$1=1,L!B243,IF(L!$A$1=2,L!C243,L!D243))</f>
        <v>Gjithsej 2023</v>
      </c>
      <c r="C30" s="85">
        <f t="shared" si="2"/>
        <v>6432179.1200000001</v>
      </c>
      <c r="D30" s="86">
        <f>SUM(D18:D29)</f>
        <v>2761006.39</v>
      </c>
      <c r="E30" s="86">
        <f>SUM(E18:E29)</f>
        <v>624559.39999999991</v>
      </c>
      <c r="F30" s="86">
        <f>SUM(F18:F29)</f>
        <v>105635.54000000001</v>
      </c>
      <c r="G30" s="86">
        <f t="shared" ref="G30:L30" si="3">SUM(G18:G29)</f>
        <v>167005.70000000001</v>
      </c>
      <c r="H30" s="86">
        <f t="shared" si="3"/>
        <v>706606</v>
      </c>
      <c r="I30" s="86">
        <f t="shared" si="3"/>
        <v>262260</v>
      </c>
      <c r="J30" s="86">
        <f t="shared" si="3"/>
        <v>106924.5</v>
      </c>
      <c r="K30" s="86">
        <f t="shared" si="3"/>
        <v>146460</v>
      </c>
      <c r="L30" s="86">
        <f t="shared" si="3"/>
        <v>398739.97</v>
      </c>
      <c r="M30" s="86">
        <f>SUM(M18:M29)</f>
        <v>1152981.6200000001</v>
      </c>
      <c r="O30" s="116"/>
      <c r="P30" s="118"/>
    </row>
    <row r="31" spans="1:16" s="2" customFormat="1" ht="16.5" x14ac:dyDescent="0.3">
      <c r="A31" s="321">
        <v>2024</v>
      </c>
      <c r="B31" s="4" t="s">
        <v>881</v>
      </c>
      <c r="C31" s="265">
        <f>SUM(D31:M31)</f>
        <v>322865.37</v>
      </c>
      <c r="D31" s="266">
        <v>117550.5</v>
      </c>
      <c r="E31" s="267">
        <v>68061.38</v>
      </c>
      <c r="F31" s="265"/>
      <c r="G31" s="268">
        <v>21850.6</v>
      </c>
      <c r="H31" s="269"/>
      <c r="I31" s="270">
        <v>18110.5</v>
      </c>
      <c r="J31" s="270">
        <v>6305</v>
      </c>
      <c r="K31" s="271">
        <v>40866.199999999997</v>
      </c>
      <c r="L31" s="271">
        <v>10320.19</v>
      </c>
      <c r="M31" s="265">
        <v>39801</v>
      </c>
      <c r="N31" s="116"/>
    </row>
    <row r="32" spans="1:16" s="2" customFormat="1" ht="16.5" x14ac:dyDescent="0.3">
      <c r="A32" s="321"/>
      <c r="B32" s="6" t="s">
        <v>882</v>
      </c>
      <c r="C32" s="274">
        <f>SUM(D32:M32)</f>
        <v>240840.58000000002</v>
      </c>
      <c r="D32" s="275">
        <v>113147.16</v>
      </c>
      <c r="E32" s="276">
        <v>12187.52</v>
      </c>
      <c r="F32" s="274">
        <v>2762.4</v>
      </c>
      <c r="G32" s="277">
        <v>11184.5</v>
      </c>
      <c r="H32" s="278"/>
      <c r="I32" s="277">
        <v>19880</v>
      </c>
      <c r="J32" s="177">
        <v>8885</v>
      </c>
      <c r="K32" s="279">
        <v>12435</v>
      </c>
      <c r="L32" s="279"/>
      <c r="M32" s="274">
        <v>60359</v>
      </c>
      <c r="N32" s="116"/>
    </row>
    <row r="33" spans="1:16" s="2" customFormat="1" ht="16.5" x14ac:dyDescent="0.3">
      <c r="A33" s="321"/>
      <c r="B33" s="6" t="s">
        <v>883</v>
      </c>
      <c r="C33" s="280">
        <f t="shared" ref="C33:C43" si="4">SUM(D33:M33)</f>
        <v>550791.57999999996</v>
      </c>
      <c r="D33" s="281">
        <v>167481.01999999999</v>
      </c>
      <c r="E33" s="236">
        <v>223827.9</v>
      </c>
      <c r="F33" s="274">
        <v>14500.16</v>
      </c>
      <c r="G33" s="277">
        <v>10210</v>
      </c>
      <c r="H33" s="277"/>
      <c r="I33" s="136">
        <v>22135</v>
      </c>
      <c r="J33" s="282">
        <v>7841.5</v>
      </c>
      <c r="K33" s="282">
        <v>10929</v>
      </c>
      <c r="L33" s="283"/>
      <c r="M33" s="274">
        <v>93867</v>
      </c>
      <c r="N33" s="116"/>
    </row>
    <row r="34" spans="1:16" s="2" customFormat="1" ht="16.5" x14ac:dyDescent="0.3">
      <c r="A34" s="321"/>
      <c r="B34" s="6" t="s">
        <v>884</v>
      </c>
      <c r="C34" s="280">
        <f t="shared" si="4"/>
        <v>795539.16</v>
      </c>
      <c r="D34" s="284">
        <v>336722.02</v>
      </c>
      <c r="E34" s="285">
        <v>109405.98999999999</v>
      </c>
      <c r="F34" s="274">
        <v>763.08</v>
      </c>
      <c r="G34" s="276">
        <v>13522.15</v>
      </c>
      <c r="H34" s="294">
        <f>16990+159759</f>
        <v>176749</v>
      </c>
      <c r="I34" s="295">
        <v>21486</v>
      </c>
      <c r="J34" s="198">
        <v>6583.5</v>
      </c>
      <c r="K34" s="287">
        <v>10730</v>
      </c>
      <c r="L34" s="287">
        <v>8690</v>
      </c>
      <c r="M34" s="274">
        <f>110789.8+97.62</f>
        <v>110887.42</v>
      </c>
      <c r="N34" s="116"/>
    </row>
    <row r="35" spans="1:16" s="122" customFormat="1" ht="16.5" x14ac:dyDescent="0.3">
      <c r="A35" s="321"/>
      <c r="B35" s="264" t="s">
        <v>885</v>
      </c>
      <c r="C35" s="279">
        <f t="shared" si="4"/>
        <v>384613.46</v>
      </c>
      <c r="D35" s="285">
        <v>196234.45</v>
      </c>
      <c r="E35" s="276">
        <v>30109.63</v>
      </c>
      <c r="F35" s="279">
        <v>276</v>
      </c>
      <c r="G35" s="286">
        <v>10091</v>
      </c>
      <c r="H35" s="294"/>
      <c r="I35" s="276">
        <v>22685</v>
      </c>
      <c r="J35" s="287">
        <v>9085.5</v>
      </c>
      <c r="K35" s="296">
        <v>14097</v>
      </c>
      <c r="L35" s="296">
        <v>30452.880000000001</v>
      </c>
      <c r="M35" s="279">
        <v>71582</v>
      </c>
      <c r="N35" s="116"/>
      <c r="O35" s="263"/>
      <c r="P35" s="263"/>
    </row>
    <row r="36" spans="1:16" s="2" customFormat="1" ht="16.5" x14ac:dyDescent="0.3">
      <c r="A36" s="321"/>
      <c r="B36" s="6" t="s">
        <v>886</v>
      </c>
      <c r="C36" s="274">
        <f t="shared" si="4"/>
        <v>273949.73</v>
      </c>
      <c r="D36" s="284">
        <v>109146.55</v>
      </c>
      <c r="E36" s="276">
        <v>26723.91</v>
      </c>
      <c r="F36" s="274">
        <v>5778.27</v>
      </c>
      <c r="G36" s="286">
        <v>10447</v>
      </c>
      <c r="H36" s="297"/>
      <c r="I36" s="198">
        <v>23830</v>
      </c>
      <c r="J36" s="287">
        <v>6892</v>
      </c>
      <c r="K36" s="298">
        <v>21466</v>
      </c>
      <c r="L36" s="283"/>
      <c r="M36" s="274">
        <v>69666</v>
      </c>
      <c r="N36" s="116"/>
      <c r="O36" s="116"/>
    </row>
    <row r="37" spans="1:16" s="2" customFormat="1" ht="16.5" x14ac:dyDescent="0.3">
      <c r="A37" s="321"/>
      <c r="B37" s="6" t="s">
        <v>887</v>
      </c>
      <c r="C37" s="288">
        <f t="shared" si="4"/>
        <v>0</v>
      </c>
      <c r="D37" s="289"/>
      <c r="E37" s="276"/>
      <c r="F37" s="274"/>
      <c r="G37" s="276"/>
      <c r="H37" s="299"/>
      <c r="I37" s="300"/>
      <c r="J37" s="287"/>
      <c r="K37" s="296"/>
      <c r="L37" s="296"/>
      <c r="M37" s="274"/>
      <c r="N37" s="116"/>
      <c r="O37" s="116"/>
    </row>
    <row r="38" spans="1:16" s="2" customFormat="1" ht="16.5" x14ac:dyDescent="0.3">
      <c r="A38" s="321"/>
      <c r="B38" s="6" t="s">
        <v>888</v>
      </c>
      <c r="C38" s="288">
        <f t="shared" si="4"/>
        <v>0</v>
      </c>
      <c r="D38" s="198"/>
      <c r="E38" s="236"/>
      <c r="F38" s="274"/>
      <c r="G38" s="276"/>
      <c r="H38" s="276"/>
      <c r="I38" s="295"/>
      <c r="J38" s="301"/>
      <c r="K38" s="295"/>
      <c r="L38" s="295"/>
      <c r="M38" s="274"/>
      <c r="N38" s="116"/>
      <c r="P38" s="118"/>
    </row>
    <row r="39" spans="1:16" s="2" customFormat="1" ht="16.5" x14ac:dyDescent="0.3">
      <c r="A39" s="321"/>
      <c r="B39" s="6" t="s">
        <v>889</v>
      </c>
      <c r="C39" s="274">
        <f t="shared" si="4"/>
        <v>0</v>
      </c>
      <c r="D39" s="284"/>
      <c r="E39" s="276"/>
      <c r="F39" s="274"/>
      <c r="G39" s="276"/>
      <c r="H39" s="302"/>
      <c r="I39" s="300"/>
      <c r="J39" s="287"/>
      <c r="K39" s="287"/>
      <c r="L39" s="287"/>
      <c r="M39" s="274"/>
      <c r="N39" s="116"/>
      <c r="O39" s="116"/>
    </row>
    <row r="40" spans="1:16" s="2" customFormat="1" ht="16.5" x14ac:dyDescent="0.3">
      <c r="A40" s="321"/>
      <c r="B40" s="6" t="s">
        <v>890</v>
      </c>
      <c r="C40" s="290">
        <f t="shared" si="4"/>
        <v>0</v>
      </c>
      <c r="D40" s="291"/>
      <c r="E40" s="276"/>
      <c r="F40" s="290"/>
      <c r="G40" s="276"/>
      <c r="H40" s="303"/>
      <c r="I40" s="276"/>
      <c r="J40" s="287"/>
      <c r="K40" s="304"/>
      <c r="L40" s="304"/>
      <c r="M40" s="290"/>
      <c r="N40" s="116"/>
      <c r="P40" s="116"/>
    </row>
    <row r="41" spans="1:16" s="2" customFormat="1" x14ac:dyDescent="0.25">
      <c r="A41" s="321"/>
      <c r="B41" s="6" t="s">
        <v>891</v>
      </c>
      <c r="C41" s="292">
        <f t="shared" si="4"/>
        <v>0</v>
      </c>
      <c r="D41" s="291"/>
      <c r="E41" s="292"/>
      <c r="F41" s="292"/>
      <c r="G41" s="292"/>
      <c r="H41" s="292"/>
      <c r="I41" s="292"/>
      <c r="J41" s="292"/>
      <c r="K41" s="292"/>
      <c r="L41" s="292"/>
      <c r="M41" s="292"/>
      <c r="N41" s="116"/>
      <c r="P41" s="116"/>
    </row>
    <row r="42" spans="1:16" s="2" customFormat="1" ht="21.75" customHeight="1" x14ac:dyDescent="0.3">
      <c r="A42" s="321"/>
      <c r="B42" s="6" t="s">
        <v>892</v>
      </c>
      <c r="C42" s="292">
        <f t="shared" si="4"/>
        <v>0</v>
      </c>
      <c r="D42" s="291"/>
      <c r="E42" s="292"/>
      <c r="F42" s="292"/>
      <c r="G42" s="292"/>
      <c r="H42" s="292"/>
      <c r="I42" s="292"/>
      <c r="J42" s="293"/>
      <c r="K42" s="177"/>
      <c r="L42" s="177"/>
      <c r="M42" s="292"/>
      <c r="P42" s="118"/>
    </row>
    <row r="43" spans="1:16" s="2" customFormat="1" x14ac:dyDescent="0.25">
      <c r="A43" s="321"/>
      <c r="B43" s="5" t="s">
        <v>880</v>
      </c>
      <c r="C43" s="272">
        <f t="shared" si="4"/>
        <v>2568599.8799999994</v>
      </c>
      <c r="D43" s="273">
        <f>SUM(D31:D42)</f>
        <v>1040281.7</v>
      </c>
      <c r="E43" s="273">
        <f>SUM(E31:E42)</f>
        <v>470316.32999999996</v>
      </c>
      <c r="F43" s="273">
        <f>SUM(F31:F42)</f>
        <v>24079.910000000003</v>
      </c>
      <c r="G43" s="273">
        <f t="shared" ref="G43:L43" si="5">SUM(G31:G42)</f>
        <v>77305.25</v>
      </c>
      <c r="H43" s="273">
        <f t="shared" si="5"/>
        <v>176749</v>
      </c>
      <c r="I43" s="273">
        <f>SUM(I31:I42)</f>
        <v>128126.5</v>
      </c>
      <c r="J43" s="273">
        <f t="shared" si="5"/>
        <v>45592.5</v>
      </c>
      <c r="K43" s="273">
        <f t="shared" si="5"/>
        <v>110523.2</v>
      </c>
      <c r="L43" s="273">
        <f t="shared" si="5"/>
        <v>49463.070000000007</v>
      </c>
      <c r="M43" s="273">
        <f>SUM(M31:M42)</f>
        <v>446162.42</v>
      </c>
      <c r="O43" s="116"/>
      <c r="P43" s="118"/>
    </row>
    <row r="44" spans="1:16" s="2" customFormat="1" x14ac:dyDescent="0.25">
      <c r="D44" s="3"/>
      <c r="E44" s="3"/>
      <c r="F44" s="3"/>
    </row>
    <row r="45" spans="1:16" s="2" customFormat="1" x14ac:dyDescent="0.25">
      <c r="D45" s="3"/>
      <c r="E45" s="3"/>
      <c r="F45" s="3"/>
    </row>
    <row r="46" spans="1:16" s="2" customFormat="1" x14ac:dyDescent="0.25">
      <c r="D46" s="3"/>
      <c r="E46" s="3"/>
      <c r="F46" s="3"/>
    </row>
    <row r="47" spans="1:16" s="2" customFormat="1" x14ac:dyDescent="0.25">
      <c r="D47" s="3"/>
      <c r="E47" s="3"/>
      <c r="F47" s="3"/>
    </row>
    <row r="48" spans="1:16" s="2" customFormat="1" x14ac:dyDescent="0.25">
      <c r="C48" s="118"/>
      <c r="D48" s="3"/>
      <c r="E48" s="306"/>
      <c r="F48" s="3"/>
    </row>
    <row r="49" spans="3:15" s="2" customFormat="1" x14ac:dyDescent="0.25">
      <c r="D49" s="3"/>
      <c r="E49" s="3"/>
      <c r="F49" s="3"/>
      <c r="L49" s="118"/>
    </row>
    <row r="50" spans="3:15" s="2" customFormat="1" x14ac:dyDescent="0.25">
      <c r="C50" s="116"/>
      <c r="D50" s="3"/>
      <c r="E50" s="3"/>
      <c r="F50" s="3"/>
      <c r="O50" s="116"/>
    </row>
    <row r="51" spans="3:15" s="2" customFormat="1" x14ac:dyDescent="0.25">
      <c r="D51" s="3"/>
      <c r="E51" s="3"/>
      <c r="F51" s="3"/>
      <c r="I51" s="118"/>
      <c r="L51" s="116"/>
    </row>
    <row r="52" spans="3:15" s="2" customFormat="1" x14ac:dyDescent="0.25">
      <c r="D52" s="3"/>
      <c r="E52" s="3"/>
      <c r="F52" s="3"/>
    </row>
    <row r="53" spans="3:15" s="2" customFormat="1" x14ac:dyDescent="0.25">
      <c r="D53" s="3"/>
      <c r="E53" s="3"/>
      <c r="F53" s="3"/>
      <c r="I53" s="118"/>
    </row>
    <row r="54" spans="3:15" s="2" customFormat="1" x14ac:dyDescent="0.25">
      <c r="D54" s="3"/>
      <c r="E54" s="3"/>
      <c r="F54" s="3"/>
    </row>
    <row r="55" spans="3:15" s="2" customFormat="1" x14ac:dyDescent="0.25">
      <c r="D55" s="3"/>
      <c r="E55" s="3"/>
      <c r="F55" s="3"/>
    </row>
    <row r="56" spans="3:15" s="2" customFormat="1" x14ac:dyDescent="0.25">
      <c r="D56" s="3"/>
      <c r="E56" s="3"/>
      <c r="F56" s="3"/>
    </row>
    <row r="57" spans="3:15" s="2" customFormat="1" x14ac:dyDescent="0.25">
      <c r="D57" s="3"/>
      <c r="E57" s="3"/>
      <c r="F57" s="3"/>
    </row>
    <row r="58" spans="3:15" s="2" customFormat="1" x14ac:dyDescent="0.25">
      <c r="D58" s="3"/>
      <c r="E58" s="3"/>
      <c r="F58" s="3"/>
    </row>
    <row r="59" spans="3:15" s="2" customFormat="1" x14ac:dyDescent="0.25">
      <c r="D59" s="3"/>
      <c r="E59" s="3"/>
      <c r="F59" s="3"/>
    </row>
    <row r="60" spans="3:15" s="2" customFormat="1" x14ac:dyDescent="0.25">
      <c r="D60" s="3"/>
      <c r="E60" s="3"/>
      <c r="F60" s="3"/>
    </row>
    <row r="61" spans="3:15" s="2" customFormat="1" x14ac:dyDescent="0.25">
      <c r="D61" s="3"/>
      <c r="E61" s="3"/>
      <c r="F61" s="3"/>
    </row>
    <row r="62" spans="3:15" s="2" customFormat="1" x14ac:dyDescent="0.25">
      <c r="D62" s="3"/>
      <c r="E62" s="3"/>
      <c r="F62" s="3"/>
    </row>
    <row r="63" spans="3:15" s="2" customFormat="1" x14ac:dyDescent="0.25">
      <c r="D63" s="3"/>
      <c r="E63" s="3"/>
      <c r="F63" s="3"/>
    </row>
    <row r="64" spans="3:15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mergeCells count="2">
    <mergeCell ref="A18:A30"/>
    <mergeCell ref="A31:A43"/>
  </mergeCells>
  <pageMargins left="0.25" right="0.25" top="0.75" bottom="0.75" header="0.3" footer="0.3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123825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2021-12-09T08:29:01Z</cp:lastPrinted>
  <dcterms:created xsi:type="dcterms:W3CDTF">2015-03-12T08:53:45Z</dcterms:created>
  <dcterms:modified xsi:type="dcterms:W3CDTF">2024-07-04T10:46:17Z</dcterms:modified>
</cp:coreProperties>
</file>