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jrije.haxhijaj\Desktop\Raportet mujore dhe periodike 2025\"/>
    </mc:Choice>
  </mc:AlternateContent>
  <xr:revisionPtr revIDLastSave="0" documentId="13_ncr:1_{E61C8BFC-64A7-4942-B868-28DC040CF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_FilterDatabase" localSheetId="1" hidden="1">PRANIMET!$A$3:$N$100</definedName>
    <definedName name="_xlnm.Print_Titles" localSheetId="0">PAGESAT!$3:$5</definedName>
    <definedName name="_xlnm.Print_Area" localSheetId="0">PAGESAT!$A$1:$V$5</definedName>
    <definedName name="_xlnm.Print_Area" localSheetId="1">PRANIMET!$A$1:$N$56</definedName>
  </definedNames>
  <calcPr calcId="181029"/>
</workbook>
</file>

<file path=xl/calcChain.xml><?xml version="1.0" encoding="utf-8"?>
<calcChain xmlns="http://schemas.openxmlformats.org/spreadsheetml/2006/main">
  <c r="N52" i="6" l="1"/>
  <c r="G52" i="6"/>
  <c r="Q52" i="6" l="1"/>
  <c r="F52" i="6"/>
  <c r="K51" i="6"/>
  <c r="K52" i="6"/>
  <c r="K53" i="6"/>
  <c r="K54" i="6"/>
  <c r="M48" i="12" l="1"/>
  <c r="M49" i="12"/>
  <c r="L46" i="6" l="1"/>
  <c r="Q45" i="6" l="1"/>
  <c r="K45" i="6"/>
  <c r="V57" i="6" l="1"/>
  <c r="U57" i="6"/>
  <c r="T57" i="6"/>
  <c r="S57" i="6"/>
  <c r="P57" i="6"/>
  <c r="O57" i="6"/>
  <c r="N57" i="6"/>
  <c r="M57" i="6"/>
  <c r="J57" i="6"/>
  <c r="I57" i="6"/>
  <c r="H57" i="6"/>
  <c r="F57" i="6"/>
  <c r="Q56" i="6"/>
  <c r="K56" i="6"/>
  <c r="E56" i="6"/>
  <c r="Q55" i="6"/>
  <c r="K55" i="6"/>
  <c r="E55" i="6"/>
  <c r="R57" i="6"/>
  <c r="Q54" i="6"/>
  <c r="L57" i="6"/>
  <c r="E54" i="6"/>
  <c r="Q53" i="6"/>
  <c r="E53" i="6"/>
  <c r="E52" i="6"/>
  <c r="Q51" i="6"/>
  <c r="E51" i="6"/>
  <c r="Q50" i="6"/>
  <c r="K50" i="6"/>
  <c r="G57" i="6"/>
  <c r="Q49" i="6"/>
  <c r="K49" i="6"/>
  <c r="E49" i="6"/>
  <c r="Q48" i="6"/>
  <c r="K48" i="6"/>
  <c r="E48" i="6"/>
  <c r="Q47" i="6"/>
  <c r="K47" i="6"/>
  <c r="E47" i="6"/>
  <c r="Q46" i="6"/>
  <c r="K46" i="6"/>
  <c r="E46" i="6"/>
  <c r="E45" i="6"/>
  <c r="L56" i="12"/>
  <c r="K56" i="12"/>
  <c r="J56" i="12"/>
  <c r="I56" i="12"/>
  <c r="G56" i="12"/>
  <c r="F56" i="12"/>
  <c r="E56" i="12"/>
  <c r="D56" i="12"/>
  <c r="C55" i="12"/>
  <c r="C54" i="12"/>
  <c r="C53" i="12"/>
  <c r="P53" i="12" s="1"/>
  <c r="C52" i="12"/>
  <c r="C51" i="12"/>
  <c r="C50" i="12"/>
  <c r="C49" i="12"/>
  <c r="C48" i="12"/>
  <c r="M56" i="12"/>
  <c r="C47" i="12"/>
  <c r="C46" i="12"/>
  <c r="C45" i="12"/>
  <c r="C44" i="12"/>
  <c r="I39" i="6"/>
  <c r="D54" i="6" l="1"/>
  <c r="Q57" i="6"/>
  <c r="D49" i="6"/>
  <c r="D53" i="6"/>
  <c r="D56" i="6"/>
  <c r="D46" i="6"/>
  <c r="D45" i="6"/>
  <c r="C54" i="6"/>
  <c r="C47" i="6"/>
  <c r="D51" i="6"/>
  <c r="C48" i="6"/>
  <c r="D55" i="6"/>
  <c r="K57" i="6"/>
  <c r="C56" i="6"/>
  <c r="D47" i="6"/>
  <c r="D48" i="6"/>
  <c r="C46" i="6"/>
  <c r="C52" i="6"/>
  <c r="D52" i="6"/>
  <c r="E50" i="6"/>
  <c r="E57" i="6" s="1"/>
  <c r="C49" i="6"/>
  <c r="C51" i="6"/>
  <c r="C53" i="6"/>
  <c r="C55" i="6"/>
  <c r="C45" i="6"/>
  <c r="H56" i="12"/>
  <c r="R41" i="6"/>
  <c r="Q41" i="6" s="1"/>
  <c r="L41" i="6"/>
  <c r="G39" i="6"/>
  <c r="C56" i="12" l="1"/>
  <c r="C57" i="6"/>
  <c r="C50" i="6"/>
  <c r="D50" i="6"/>
  <c r="D57" i="6" s="1"/>
  <c r="M37" i="12"/>
  <c r="H37" i="12" l="1"/>
  <c r="G37" i="6"/>
  <c r="M37" i="6"/>
  <c r="Q36" i="6"/>
  <c r="M34" i="12"/>
  <c r="H34" i="12"/>
  <c r="Q32" i="6" l="1"/>
  <c r="K43" i="12"/>
  <c r="J43" i="12"/>
  <c r="I43" i="12"/>
  <c r="G43" i="12"/>
  <c r="F43" i="12"/>
  <c r="E43" i="12"/>
  <c r="D43" i="12"/>
  <c r="C42" i="12"/>
  <c r="C41" i="12"/>
  <c r="C40" i="12"/>
  <c r="C39" i="12"/>
  <c r="C38" i="12"/>
  <c r="C36" i="12"/>
  <c r="C35" i="12"/>
  <c r="C34" i="12"/>
  <c r="H43" i="12"/>
  <c r="L43" i="12"/>
  <c r="M43" i="12"/>
  <c r="V44" i="6"/>
  <c r="T44" i="6"/>
  <c r="S44" i="6"/>
  <c r="P44" i="6"/>
  <c r="O44" i="6"/>
  <c r="N44" i="6"/>
  <c r="L44" i="6"/>
  <c r="I44" i="6"/>
  <c r="H44" i="6"/>
  <c r="Q43" i="6"/>
  <c r="K43" i="6"/>
  <c r="E43" i="6"/>
  <c r="Q42" i="6"/>
  <c r="K42" i="6"/>
  <c r="E42" i="6"/>
  <c r="K41" i="6"/>
  <c r="F44" i="6"/>
  <c r="R44" i="6"/>
  <c r="K40" i="6"/>
  <c r="E40" i="6"/>
  <c r="Q39" i="6"/>
  <c r="K39" i="6"/>
  <c r="E39" i="6"/>
  <c r="Q38" i="6"/>
  <c r="K38" i="6"/>
  <c r="E38" i="6"/>
  <c r="Q37" i="6"/>
  <c r="K37" i="6"/>
  <c r="J44" i="6"/>
  <c r="E37" i="6"/>
  <c r="K36" i="6"/>
  <c r="E36" i="6"/>
  <c r="Q35" i="6"/>
  <c r="K35" i="6"/>
  <c r="E35" i="6"/>
  <c r="Q34" i="6"/>
  <c r="M44" i="6"/>
  <c r="G44" i="6"/>
  <c r="Q33" i="6"/>
  <c r="K33" i="6"/>
  <c r="E33" i="6"/>
  <c r="K32" i="6"/>
  <c r="E32" i="6"/>
  <c r="C29" i="12"/>
  <c r="C43" i="6" l="1"/>
  <c r="D39" i="6"/>
  <c r="D33" i="6"/>
  <c r="D32" i="6"/>
  <c r="C31" i="12"/>
  <c r="C37" i="12"/>
  <c r="C33" i="12"/>
  <c r="C43" i="12"/>
  <c r="C32" i="12"/>
  <c r="C39" i="6"/>
  <c r="D43" i="6"/>
  <c r="D35" i="6"/>
  <c r="C35" i="6"/>
  <c r="K34" i="6"/>
  <c r="K44" i="6" s="1"/>
  <c r="D37" i="6"/>
  <c r="C37" i="6"/>
  <c r="U44" i="6"/>
  <c r="E41" i="6"/>
  <c r="D41" i="6" s="1"/>
  <c r="C38" i="6"/>
  <c r="C36" i="6"/>
  <c r="D36" i="6"/>
  <c r="D42" i="6"/>
  <c r="C42" i="6"/>
  <c r="C33" i="6"/>
  <c r="D38" i="6"/>
  <c r="Q40" i="6"/>
  <c r="C40" i="6" s="1"/>
  <c r="C32" i="6"/>
  <c r="E34" i="6"/>
  <c r="G27" i="6"/>
  <c r="G29" i="6"/>
  <c r="E44" i="6" l="1"/>
  <c r="C41" i="6"/>
  <c r="D34" i="6"/>
  <c r="C34" i="6"/>
  <c r="Q44" i="6"/>
  <c r="D40" i="6"/>
  <c r="M24" i="12"/>
  <c r="C44" i="6" l="1"/>
  <c r="D44" i="6"/>
  <c r="L25" i="12"/>
  <c r="L24" i="12"/>
  <c r="F28" i="6"/>
  <c r="U28" i="6"/>
  <c r="H27" i="12"/>
  <c r="R27" i="6" l="1"/>
  <c r="Q25" i="6" l="1"/>
  <c r="G22" i="6"/>
  <c r="J24" i="6"/>
  <c r="U23" i="6"/>
  <c r="Q22" i="6"/>
  <c r="M21" i="6"/>
  <c r="G21" i="6"/>
  <c r="H20" i="12"/>
  <c r="M18" i="12" l="1"/>
  <c r="M30" i="12" s="1"/>
  <c r="L19" i="12"/>
  <c r="C19" i="12" s="1"/>
  <c r="E20" i="6"/>
  <c r="K30" i="12"/>
  <c r="I30" i="12"/>
  <c r="G30" i="12"/>
  <c r="E30" i="12"/>
  <c r="D30" i="12"/>
  <c r="B30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B19" i="12"/>
  <c r="J30" i="12"/>
  <c r="B18" i="12"/>
  <c r="E19" i="6"/>
  <c r="V31" i="6"/>
  <c r="U31" i="6"/>
  <c r="T31" i="6"/>
  <c r="P31" i="6"/>
  <c r="O31" i="6"/>
  <c r="N31" i="6"/>
  <c r="M31" i="6"/>
  <c r="L31" i="6"/>
  <c r="B31" i="6"/>
  <c r="R31" i="6"/>
  <c r="Q30" i="6"/>
  <c r="K30" i="6"/>
  <c r="E30" i="6"/>
  <c r="B30" i="6"/>
  <c r="Q29" i="6"/>
  <c r="K29" i="6"/>
  <c r="E29" i="6"/>
  <c r="B29" i="6"/>
  <c r="Q28" i="6"/>
  <c r="K28" i="6"/>
  <c r="E28" i="6"/>
  <c r="B28" i="6"/>
  <c r="Q27" i="6"/>
  <c r="K27" i="6"/>
  <c r="E27" i="6"/>
  <c r="B27" i="6"/>
  <c r="S31" i="6"/>
  <c r="Q26" i="6"/>
  <c r="K26" i="6"/>
  <c r="E26" i="6"/>
  <c r="B26" i="6"/>
  <c r="K25" i="6"/>
  <c r="I31" i="6"/>
  <c r="E25" i="6"/>
  <c r="B25" i="6"/>
  <c r="Q24" i="6"/>
  <c r="K24" i="6"/>
  <c r="B24" i="6"/>
  <c r="Q23" i="6"/>
  <c r="K23" i="6"/>
  <c r="E23" i="6"/>
  <c r="B23" i="6"/>
  <c r="K22" i="6"/>
  <c r="E22" i="6"/>
  <c r="B22" i="6"/>
  <c r="Q21" i="6"/>
  <c r="K21" i="6"/>
  <c r="E21" i="6"/>
  <c r="B21" i="6"/>
  <c r="Q20" i="6"/>
  <c r="K20" i="6"/>
  <c r="B20" i="6"/>
  <c r="Q19" i="6"/>
  <c r="K19" i="6"/>
  <c r="B19" i="6"/>
  <c r="H15" i="6"/>
  <c r="I15" i="6"/>
  <c r="H13" i="6"/>
  <c r="I13" i="6"/>
  <c r="D29" i="6" l="1"/>
  <c r="D28" i="6"/>
  <c r="L30" i="12"/>
  <c r="D25" i="6"/>
  <c r="C28" i="6"/>
  <c r="C21" i="6"/>
  <c r="C18" i="12"/>
  <c r="J31" i="6"/>
  <c r="H31" i="6"/>
  <c r="D23" i="6"/>
  <c r="D21" i="6"/>
  <c r="H30" i="12"/>
  <c r="F30" i="12"/>
  <c r="C19" i="6"/>
  <c r="Q31" i="6"/>
  <c r="C29" i="6"/>
  <c r="C25" i="6"/>
  <c r="D27" i="6"/>
  <c r="C23" i="6"/>
  <c r="C20" i="6"/>
  <c r="D26" i="6"/>
  <c r="C26" i="6"/>
  <c r="C22" i="6"/>
  <c r="D22" i="6"/>
  <c r="D30" i="6"/>
  <c r="C30" i="6"/>
  <c r="K31" i="6"/>
  <c r="F31" i="6"/>
  <c r="D19" i="6"/>
  <c r="D20" i="6"/>
  <c r="C27" i="6"/>
  <c r="G17" i="6"/>
  <c r="C30" i="12" l="1"/>
  <c r="H16" i="12"/>
  <c r="H13" i="12"/>
  <c r="H10" i="12"/>
  <c r="L12" i="6" l="1"/>
  <c r="T16" i="6" l="1"/>
  <c r="E15" i="6" l="1"/>
  <c r="I14" i="6" l="1"/>
  <c r="M11" i="12" l="1"/>
  <c r="E12" i="6" l="1"/>
  <c r="E13" i="6"/>
  <c r="E14" i="6"/>
  <c r="Q10" i="6" l="1"/>
  <c r="M7" i="12" l="1"/>
  <c r="F6" i="6" l="1"/>
  <c r="R9" i="6"/>
  <c r="F9" i="6"/>
  <c r="R7" i="6"/>
  <c r="G9" i="6" l="1"/>
  <c r="Q9" i="6" l="1"/>
  <c r="L8" i="6" l="1"/>
  <c r="D17" i="12" l="1"/>
  <c r="E17" i="12"/>
  <c r="F17" i="12"/>
  <c r="G17" i="12"/>
  <c r="I17" i="12"/>
  <c r="J17" i="12"/>
  <c r="K17" i="12"/>
  <c r="L17" i="12"/>
  <c r="B17" i="12"/>
  <c r="H7" i="12"/>
  <c r="H17" i="12" s="1"/>
  <c r="C16" i="12" l="1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B8" i="12"/>
  <c r="C7" i="12"/>
  <c r="B7" i="12"/>
  <c r="C6" i="12"/>
  <c r="B6" i="12"/>
  <c r="C5" i="12"/>
  <c r="B5" i="12"/>
  <c r="V18" i="6" l="1"/>
  <c r="U18" i="6"/>
  <c r="T18" i="6"/>
  <c r="S18" i="6"/>
  <c r="R18" i="6"/>
  <c r="O18" i="6"/>
  <c r="N18" i="6"/>
  <c r="M18" i="6"/>
  <c r="L18" i="6"/>
  <c r="H18" i="6"/>
  <c r="B18" i="6"/>
  <c r="Q17" i="6"/>
  <c r="K17" i="6"/>
  <c r="E17" i="6"/>
  <c r="B17" i="6"/>
  <c r="Q16" i="6"/>
  <c r="K16" i="6"/>
  <c r="E16" i="6"/>
  <c r="B16" i="6"/>
  <c r="Q15" i="6"/>
  <c r="K15" i="6"/>
  <c r="G18" i="6"/>
  <c r="B15" i="6"/>
  <c r="Q14" i="6"/>
  <c r="K14" i="6"/>
  <c r="B14" i="6"/>
  <c r="Q13" i="6"/>
  <c r="K13" i="6"/>
  <c r="B13" i="6"/>
  <c r="Q12" i="6"/>
  <c r="K12" i="6"/>
  <c r="B12" i="6"/>
  <c r="Q11" i="6"/>
  <c r="K11" i="6"/>
  <c r="E11" i="6"/>
  <c r="B11" i="6"/>
  <c r="P18" i="6"/>
  <c r="E10" i="6"/>
  <c r="B10" i="6"/>
  <c r="K9" i="6"/>
  <c r="E9" i="6"/>
  <c r="B9" i="6"/>
  <c r="Q8" i="6"/>
  <c r="K8" i="6"/>
  <c r="J18" i="6"/>
  <c r="E8" i="6"/>
  <c r="B8" i="6"/>
  <c r="Q7" i="6"/>
  <c r="K7" i="6"/>
  <c r="E7" i="6"/>
  <c r="B7" i="6"/>
  <c r="Q6" i="6"/>
  <c r="K6" i="6"/>
  <c r="B6" i="6"/>
  <c r="D14" i="6" l="1"/>
  <c r="D13" i="6"/>
  <c r="D9" i="6"/>
  <c r="C9" i="6"/>
  <c r="D11" i="6"/>
  <c r="C15" i="6"/>
  <c r="C13" i="6"/>
  <c r="D15" i="6"/>
  <c r="C11" i="6"/>
  <c r="C16" i="6"/>
  <c r="D16" i="6"/>
  <c r="C12" i="6"/>
  <c r="C14" i="6"/>
  <c r="D7" i="6"/>
  <c r="I18" i="6"/>
  <c r="D12" i="6"/>
  <c r="K10" i="6"/>
  <c r="D10" i="6" s="1"/>
  <c r="D17" i="6"/>
  <c r="Q18" i="6"/>
  <c r="D8" i="6"/>
  <c r="C8" i="6"/>
  <c r="C7" i="6"/>
  <c r="C17" i="6"/>
  <c r="K18" i="6" l="1"/>
  <c r="C10" i="6"/>
  <c r="B3" i="12" l="1"/>
  <c r="C3" i="12"/>
  <c r="D3" i="12"/>
  <c r="A3" i="12"/>
  <c r="A1" i="12"/>
  <c r="E5" i="6"/>
  <c r="F5" i="6"/>
  <c r="G5" i="6"/>
  <c r="H5" i="6"/>
  <c r="I5" i="6"/>
  <c r="J5" i="6"/>
  <c r="D5" i="6"/>
  <c r="C5" i="6"/>
  <c r="A1" i="6" l="1"/>
  <c r="F18" i="6" l="1"/>
  <c r="E6" i="6"/>
  <c r="E18" i="6" s="1"/>
  <c r="C18" i="6" s="1"/>
  <c r="C6" i="6" l="1"/>
  <c r="D6" i="6"/>
  <c r="D18" i="6" s="1"/>
  <c r="M17" i="12"/>
  <c r="C8" i="12"/>
  <c r="C17" i="12" s="1"/>
  <c r="G31" i="6"/>
  <c r="E24" i="6"/>
  <c r="D24" i="6" s="1"/>
  <c r="D31" i="6" s="1"/>
  <c r="C24" i="6" l="1"/>
  <c r="E31" i="6"/>
  <c r="C3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Hajrije Haxhijaj</author>
  </authors>
  <commentList>
    <comment ref="L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Save the Children</t>
        </r>
      </text>
    </comment>
    <comment ref="L6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dona. Nga Sawe dhe Children </t>
        </r>
      </text>
    </comment>
    <comment ref="H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e policise janar-MARS  236,671.80 dhe gjobat nga gjykata 16400
</t>
        </r>
      </text>
    </comment>
    <comment ref="L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EU per SHKMT " Shaban Spahija"</t>
        </r>
      </text>
    </comment>
    <comment ref="H8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36641,,gjoba nga gjykata 1900
</t>
        </r>
      </text>
    </comment>
    <comment ref="L8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1328.58 dona. Sawe dhe Children, 2237.00 ndacion nga EU-Unioni Europian </t>
        </r>
      </text>
    </comment>
    <comment ref="L9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Save the Children</t>
        </r>
      </text>
    </comment>
    <comment ref="H10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230,967.20 gjobat ne trafik 20,685. gjobat nga gjykata </t>
        </r>
      </text>
    </comment>
    <comment ref="L10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4995.euro Sawe the child, 7419.euro I shkolles fillore " Dardania"</t>
        </r>
      </text>
    </comment>
    <comment ref="H11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11815 jane gjoba nga gjykata</t>
        </r>
      </text>
    </comment>
    <comment ref="L11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49635. euro donacion  per Drejt. Zhvillimit Ekonomik , 57456.00 donac. EU per Drejtorin Klture, Rini dhe Sport ,1328.58 donacion  SAVE the Children   per Arsim fillor</t>
        </r>
      </text>
    </comment>
    <comment ref="H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3,485.00 dhe gjoba ne trafik 58111
</t>
        </r>
      </text>
    </comment>
    <comment ref="L1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, Drejtoria Kultur, Rini dhe sport , Projekti " Star"</t>
        </r>
      </text>
    </comment>
    <comment ref="H1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286,922 Gjobat ne trafik 13,268
gjoba nga gjykat</t>
        </r>
      </text>
    </comment>
    <comment ref="L13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Trashegimi kulturore nder-rajonale Plave-GUSI</t>
        </r>
      </text>
    </comment>
    <comment ref="H14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trsfi prill-shtator 396149.80
</t>
        </r>
      </text>
    </comment>
    <comment ref="L14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Save dhe children , Arsimi fillor </t>
        </r>
      </text>
    </comment>
    <comment ref="H1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64251 € GJOBA ne trafik, 2530.88 gjoba nga gjykata </t>
        </r>
      </text>
    </comment>
    <comment ref="H16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gjoba nga gjykat 17,245
gjoba ne trafik 211,577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6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per shk. Mes " Shaban Spahija </t>
        </r>
      </text>
    </comment>
    <comment ref="H18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53816.5 gjoba ne trafik  , 6390.00 gjoba nga gjykat a</t>
        </r>
      </text>
    </comment>
    <comment ref="H19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trafik 58562.5
gjobat nga gjykata 5100
</t>
        </r>
      </text>
    </comment>
    <comment ref="L19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Sawe dhe Children 1006.58
Komisi Europian 155,524.50</t>
        </r>
      </text>
    </comment>
    <comment ref="H20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216,452gjoba nga gjykata 17605
</t>
        </r>
      </text>
    </comment>
    <comment ref="H23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645,00 jane gjoba nga gjykata</t>
        </r>
      </text>
    </comment>
    <comment ref="H24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12630,dhe gjoba ne trafik 190,409
</t>
        </r>
      </text>
    </comment>
    <comment ref="L24" authorId="0" shapeId="0" xr:uid="{0AF33AF2-747D-493C-B554-915B42F12C1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per blerjen e motokultivatorve , donacion sawe dhe Children, Kom. Eur</t>
        </r>
      </text>
    </comment>
    <comment ref="H25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4,240.00euro janë gjoba nga gjykata ,  gjoba ne trafik 65,954.5</t>
        </r>
      </text>
    </comment>
    <comment ref="H26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1545.00gjoba nga gjykata , 86,233.00 gjoba ne trafik</t>
        </r>
      </text>
    </comment>
    <comment ref="H27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256,070€ GJOBA ne trafik, 13440
gjoba nga gjykata </t>
        </r>
      </text>
    </comment>
    <comment ref="L27" authorId="0" shapeId="0" xr:uid="{7667659D-C732-4148-A327-9D0F8020224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</t>
        </r>
      </text>
    </comment>
    <comment ref="H28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gjykat 3835
gjoba ne trafik 63544
</t>
        </r>
      </text>
    </comment>
    <comment ref="L28" authorId="0" shapeId="0" xr:uid="{45035CC0-568D-470E-929D-26D1AD1ECC79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Sawe dhe Children</t>
        </r>
      </text>
    </comment>
    <comment ref="H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trafiku 70993.5, 
gjoba nga gjykat 8975
</t>
        </r>
      </text>
    </comment>
    <comment ref="L31" authorId="0" shapeId="0" xr:uid="{641B7528-0A60-4C45-9D73-11B686084AC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H34" authorId="0" shapeId="0" xr:uid="{C24DC70F-5D54-45AC-978F-E5AF8DB40E9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35" authorId="0" shapeId="0" xr:uid="{FA5773B7-ACF3-4187-9D23-E993B74BEDE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37" authorId="0" shapeId="0" xr:uid="{BC4B8E05-5CA3-498E-841D-CEE1167BD64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40" authorId="0" shapeId="0" xr:uid="{E65EB144-213C-4400-A4CD-7B2566E67062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358878.50 gjobat ne trafik dhe 22140 gjobat nga gjjykata </t>
        </r>
      </text>
    </comment>
    <comment ref="L44" authorId="0" shapeId="0" xr:uid="{57171F1F-3E6D-4ACE-AC52-C4915D214C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45" authorId="0" shapeId="0" xr:uid="{BDE3C58F-FD78-4AE6-A8C4-FEBAA9970CEB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46" authorId="0" shapeId="0" xr:uid="{D318943F-41D5-4316-8160-7681A99FCF94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47" authorId="0" shapeId="0" xr:uid="{E4673BB4-3B8E-43B1-87E1-ECF24885DCE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47" authorId="0" shapeId="0" xr:uid="{36912EB5-BF47-46CF-B32C-6F742959DDE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48" authorId="0" shapeId="0" xr:uid="{38D29213-28F1-478E-977A-61B94ABE7AF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50" authorId="0" shapeId="0" xr:uid="{8F3F6B6B-6E3A-4C6D-A959-A96BF15C909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52" authorId="0" shapeId="0" xr:uid="{F5F42165-2EAC-47ED-9281-D742135E2D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</commentList>
</comments>
</file>

<file path=xl/sharedStrings.xml><?xml version="1.0" encoding="utf-8"?>
<sst xmlns="http://schemas.openxmlformats.org/spreadsheetml/2006/main" count="1005" uniqueCount="896">
  <si>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</si>
  <si>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</si>
  <si>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</si>
  <si>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</si>
  <si>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</si>
  <si>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</si>
  <si>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</si>
  <si>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</si>
  <si>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</si>
  <si>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</si>
  <si>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</si>
  <si>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</si>
  <si>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</si>
  <si>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</si>
  <si>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</si>
  <si>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</si>
  <si>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</si>
  <si>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</si>
  <si>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</si>
  <si>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</si>
  <si>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</si>
  <si>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</si>
  <si>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</si>
  <si>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</si>
  <si>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</si>
  <si>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</si>
  <si>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</si>
  <si>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</si>
  <si>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</si>
  <si>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</si>
  <si>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</si>
  <si>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</si>
  <si>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</si>
  <si>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</si>
  <si>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</si>
  <si>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</si>
  <si>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</si>
  <si>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</si>
  <si>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</si>
  <si>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</si>
  <si>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</si>
  <si>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</si>
  <si>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</si>
  <si>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</si>
  <si>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</si>
  <si>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</si>
  <si>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</si>
  <si>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</si>
  <si>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</si>
  <si>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</si>
  <si>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</si>
  <si>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</si>
  <si>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</si>
  <si>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</si>
  <si>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</si>
  <si>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</si>
  <si>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</si>
  <si>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</si>
  <si>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</si>
  <si>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</si>
  <si>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</si>
  <si>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</si>
  <si>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</si>
  <si>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</si>
  <si>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</si>
  <si>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</si>
  <si>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</si>
  <si>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</si>
  <si>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</si>
  <si>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</si>
  <si>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</si>
  <si>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</si>
  <si>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</si>
  <si>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</si>
  <si>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</si>
  <si>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</si>
  <si>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</si>
  <si>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</si>
  <si>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</si>
  <si>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</si>
  <si>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</si>
  <si>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</si>
  <si>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</si>
  <si>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</si>
  <si>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</si>
  <si>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</si>
  <si>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</si>
  <si>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</si>
  <si>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</si>
  <si>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</si>
  <si>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</si>
  <si>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</si>
  <si>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</si>
  <si>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</si>
  <si>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</si>
  <si>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</si>
  <si>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</si>
  <si>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</si>
  <si>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</si>
  <si>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</si>
  <si>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</si>
  <si>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</si>
  <si>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</si>
  <si>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</si>
  <si>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</si>
  <si>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</si>
  <si>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</si>
  <si>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</si>
  <si>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</si>
  <si>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</si>
  <si>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</si>
  <si>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</si>
  <si>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</si>
  <si>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</si>
  <si>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</si>
  <si>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</si>
  <si>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</si>
  <si>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</si>
  <si>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</si>
  <si>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</si>
  <si>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</si>
  <si>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</si>
  <si>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</si>
  <si>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</si>
  <si>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</si>
  <si>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</si>
  <si>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</si>
  <si>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</si>
  <si>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</si>
  <si>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</si>
  <si>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</si>
  <si>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</si>
  <si>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</si>
  <si>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</si>
  <si>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</si>
  <si>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</si>
  <si>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</si>
  <si>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</si>
  <si>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</si>
  <si>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</si>
  <si>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</si>
  <si>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</si>
  <si>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</si>
  <si>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</si>
  <si>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</si>
  <si>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</si>
  <si>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</si>
  <si>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</si>
  <si>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</si>
  <si>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</si>
  <si>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</si>
  <si>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</si>
  <si>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</si>
  <si>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</si>
  <si>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</si>
  <si>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</si>
  <si>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</si>
  <si>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</si>
  <si>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</si>
  <si>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</si>
  <si>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</si>
  <si>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</si>
  <si>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</si>
  <si>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</si>
  <si>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</si>
  <si>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</si>
  <si>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</si>
  <si>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</si>
  <si>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</si>
  <si>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</si>
  <si>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</si>
  <si>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</si>
  <si>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</si>
  <si>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</si>
  <si>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</si>
  <si>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</si>
  <si>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</si>
  <si>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</si>
  <si>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</si>
  <si>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</si>
  <si>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</si>
  <si>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</si>
  <si>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</si>
  <si>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</si>
  <si>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</si>
  <si>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</si>
  <si>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</si>
  <si>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</si>
  <si>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</si>
  <si>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</si>
  <si>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</si>
  <si>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</si>
  <si>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</si>
  <si>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</si>
  <si>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</si>
  <si>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</si>
  <si>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</si>
  <si>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</si>
  <si>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</si>
  <si>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</si>
  <si>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</si>
  <si>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</si>
  <si>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</si>
  <si>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</si>
  <si>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</si>
  <si>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</si>
  <si>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</si>
  <si>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</si>
  <si>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</si>
  <si>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</si>
  <si>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</si>
  <si>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</si>
  <si>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</si>
  <si>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</si>
  <si>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</si>
  <si>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</si>
  <si>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</si>
  <si>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</si>
  <si>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</si>
  <si>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</si>
  <si>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</si>
  <si>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</si>
  <si>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</si>
  <si>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</si>
  <si>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</si>
  <si>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</si>
  <si>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</si>
  <si>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</si>
  <si>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</si>
  <si>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</si>
  <si>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</si>
  <si>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</si>
  <si>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</si>
  <si>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</si>
  <si>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</si>
  <si>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</si>
  <si>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</si>
  <si>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</si>
  <si>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</si>
  <si>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</si>
  <si>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</si>
  <si>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</si>
  <si>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</si>
  <si>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</si>
  <si>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</si>
  <si>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</si>
  <si>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</si>
  <si>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</si>
  <si>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</si>
  <si>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</si>
  <si>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</si>
  <si>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</si>
  <si>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</si>
  <si>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</si>
  <si>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</si>
  <si>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</si>
  <si>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</si>
  <si>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</si>
  <si>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</si>
  <si>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</si>
  <si>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</si>
  <si>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</si>
  <si>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</si>
  <si>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</si>
  <si>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</si>
  <si>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</si>
  <si>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</si>
  <si>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</si>
  <si>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</si>
  <si>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</si>
  <si>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</si>
  <si>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</si>
  <si>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</si>
  <si>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</si>
  <si>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</si>
  <si>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</si>
  <si>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</si>
  <si>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</si>
  <si>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</si>
  <si>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</si>
  <si>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</si>
  <si>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</si>
  <si>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</si>
  <si>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</si>
  <si>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</si>
  <si>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</si>
  <si>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</si>
  <si>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</si>
  <si>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</si>
  <si>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</si>
  <si>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</si>
  <si>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</si>
  <si>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</si>
  <si>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</si>
  <si>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</si>
  <si>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</si>
  <si>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</si>
  <si>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</si>
  <si>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</si>
  <si>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</si>
  <si>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</si>
  <si>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</si>
  <si>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</si>
  <si>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</si>
  <si>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</si>
  <si>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</si>
  <si>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</si>
  <si>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</si>
  <si>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</si>
  <si>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</si>
  <si>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</si>
  <si>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</si>
  <si>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</si>
  <si>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</si>
  <si>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</si>
  <si>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</si>
  <si>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</si>
  <si>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</si>
  <si>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</si>
  <si>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</si>
  <si>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</si>
  <si>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</si>
  <si>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</si>
  <si>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</si>
  <si>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</si>
  <si>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</si>
  <si>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</si>
  <si>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</si>
  <si>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</si>
  <si>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</si>
  <si>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</si>
  <si>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</si>
  <si>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</si>
  <si>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</si>
  <si>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</si>
  <si>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</si>
  <si>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</si>
  <si>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</si>
  <si>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</si>
  <si>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</si>
  <si>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</si>
  <si>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</si>
  <si>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</si>
  <si>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</si>
  <si>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</si>
  <si>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</si>
  <si>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</si>
  <si>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</si>
  <si>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</si>
  <si>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</si>
  <si>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</si>
  <si>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</si>
  <si>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</si>
  <si>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</si>
  <si>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</si>
  <si>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</si>
  <si>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</si>
  <si>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</si>
  <si>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</si>
  <si>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</si>
  <si>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</si>
  <si>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</si>
  <si>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</si>
  <si>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</si>
  <si>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</si>
  <si>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</si>
  <si>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</si>
  <si>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</si>
  <si>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</si>
  <si>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</si>
  <si>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</si>
  <si>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</si>
  <si>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</si>
  <si>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</si>
  <si>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</si>
  <si>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</si>
  <si>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</si>
  <si>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</si>
  <si>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</si>
  <si>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</si>
  <si>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</si>
  <si>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</si>
  <si>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</si>
  <si>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</si>
  <si>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</si>
  <si>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</si>
  <si>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</si>
  <si>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</si>
  <si>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</si>
  <si>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</si>
  <si>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</si>
  <si>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</si>
  <si>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</si>
  <si>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</si>
  <si>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</si>
  <si>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</si>
  <si>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</si>
  <si>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</si>
  <si>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</si>
  <si>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</si>
  <si>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</si>
  <si>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</si>
  <si>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</si>
  <si>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</si>
  <si>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</si>
  <si>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</si>
  <si>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</si>
  <si>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</si>
  <si>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</si>
  <si>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</si>
  <si>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</si>
  <si>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</si>
  <si>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</si>
  <si>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</si>
  <si>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</si>
  <si>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</si>
  <si>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</si>
  <si>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</si>
  <si>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</si>
  <si>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</si>
  <si>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</si>
  <si>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</si>
  <si>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</si>
  <si>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</si>
  <si>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</si>
  <si>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</si>
  <si>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</si>
  <si>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</si>
  <si>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</si>
  <si>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</si>
  <si>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</si>
  <si>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</si>
  <si>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</si>
  <si>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</si>
  <si>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</si>
  <si>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</si>
  <si>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</si>
  <si>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</si>
  <si>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</si>
  <si>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</si>
  <si>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</si>
  <si>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</si>
  <si>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</si>
  <si>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</si>
  <si>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</si>
  <si>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</si>
  <si>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</si>
  <si>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</si>
  <si>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</si>
  <si>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</si>
  <si>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</si>
  <si>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</si>
  <si>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</si>
  <si>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</si>
  <si>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</si>
  <si>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</si>
  <si>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</si>
  <si>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</si>
  <si>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</si>
  <si>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</si>
  <si>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</si>
  <si>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</si>
  <si>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</si>
  <si>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</si>
  <si>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</si>
  <si>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</si>
  <si>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</si>
  <si>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</si>
  <si>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</si>
  <si>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</si>
  <si>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</si>
  <si>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</si>
  <si>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</si>
  <si>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</si>
  <si>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</si>
  <si>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</si>
  <si>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</si>
  <si>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</si>
  <si>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</si>
  <si>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</si>
  <si>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</si>
  <si>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</si>
  <si>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</si>
  <si>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</si>
  <si>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</si>
  <si>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</si>
  <si>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</si>
  <si>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</si>
  <si>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</si>
  <si>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</si>
  <si>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</si>
  <si>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</si>
  <si>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</si>
  <si>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</si>
  <si>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</si>
  <si>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</si>
  <si>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</si>
  <si>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</si>
  <si>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</si>
  <si>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</si>
  <si>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</si>
  <si>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</si>
  <si>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</si>
  <si>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</si>
  <si>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</si>
  <si>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</si>
  <si>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</si>
  <si>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</si>
  <si>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</si>
  <si>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</si>
  <si>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</si>
  <si>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</si>
  <si>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</si>
  <si>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</si>
  <si>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</si>
  <si>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</si>
  <si>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</si>
  <si>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</si>
  <si>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</si>
  <si>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</si>
  <si>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</si>
  <si>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</si>
  <si>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</si>
  <si>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</si>
  <si>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</si>
  <si>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</si>
  <si>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</si>
  <si>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</si>
  <si>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</si>
  <si>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</si>
  <si>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</si>
  <si>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</si>
  <si>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</si>
  <si>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</si>
  <si>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</si>
  <si>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</si>
  <si>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</si>
  <si>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</si>
  <si>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</si>
  <si>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</si>
  <si>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</si>
  <si>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</si>
  <si>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</si>
  <si>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</si>
  <si>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</si>
  <si>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</si>
  <si>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</si>
  <si>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</si>
  <si>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</si>
  <si>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</si>
  <si>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</si>
  <si>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</si>
  <si>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</si>
  <si>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</si>
  <si>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</si>
  <si>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</si>
  <si>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</si>
  <si>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</si>
  <si>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</si>
  <si>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</si>
  <si>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</si>
  <si>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</si>
  <si>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</si>
  <si>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</si>
  <si>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</si>
  <si>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</si>
  <si>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</si>
  <si>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</si>
  <si>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</si>
  <si>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</si>
  <si>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</si>
  <si>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</si>
  <si>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</si>
  <si>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</si>
  <si>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</si>
  <si>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</si>
  <si>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</si>
  <si>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</si>
  <si>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</si>
  <si>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</si>
  <si>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</si>
  <si>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</si>
  <si>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</si>
  <si>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</si>
  <si>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</si>
  <si>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</si>
  <si>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</si>
  <si>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</si>
  <si>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</si>
  <si>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</si>
  <si>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</si>
  <si>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</si>
  <si>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</si>
  <si>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</si>
  <si>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</si>
  <si>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</si>
  <si>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</si>
  <si>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</si>
  <si>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</si>
  <si>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</si>
  <si>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</si>
  <si>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</si>
  <si>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</si>
  <si>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</si>
  <si>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</si>
  <si>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</si>
  <si>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</si>
  <si>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</si>
  <si>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</si>
  <si>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</si>
  <si>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</si>
  <si>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</si>
  <si>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</si>
  <si>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</si>
  <si>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</si>
  <si>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</si>
  <si>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</si>
  <si>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</si>
  <si>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</si>
  <si>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</si>
  <si>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</si>
  <si>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</si>
  <si>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</si>
  <si>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</si>
  <si>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</si>
  <si>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</si>
  <si>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</si>
  <si>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</si>
  <si>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</si>
  <si>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</si>
  <si>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</si>
  <si>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</si>
  <si>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</si>
  <si>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</si>
  <si>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</si>
  <si>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</si>
  <si>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</si>
  <si>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</si>
  <si>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</si>
  <si>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</si>
  <si>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</si>
  <si>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</si>
  <si>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</si>
  <si>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</si>
  <si>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</si>
  <si>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</si>
  <si>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</si>
  <si>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</si>
  <si>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</si>
  <si>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</si>
  <si>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</si>
  <si>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</si>
  <si>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</si>
  <si>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</si>
  <si>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</si>
  <si>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</si>
  <si>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</si>
  <si>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</si>
  <si>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</si>
  <si>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</si>
  <si>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</si>
  <si>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</si>
  <si>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</si>
  <si>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</si>
  <si>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</si>
  <si>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</si>
  <si>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</si>
  <si>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</si>
  <si>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</si>
  <si>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</si>
  <si>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</si>
  <si>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</si>
  <si>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</si>
  <si>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</si>
  <si>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</si>
  <si>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</si>
  <si>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</si>
  <si>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</si>
  <si>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</si>
  <si>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</si>
  <si>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</si>
  <si>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</si>
  <si>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</si>
  <si>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</si>
  <si>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</si>
  <si>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</si>
  <si>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</si>
  <si>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</si>
  <si>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</si>
  <si>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</si>
  <si>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</si>
  <si>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</si>
  <si>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</si>
  <si>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</si>
  <si>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</si>
  <si>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</si>
  <si>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</si>
  <si>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</si>
  <si>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</si>
  <si>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</si>
  <si>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</si>
  <si>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</si>
  <si>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</si>
  <si>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</si>
  <si>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</si>
  <si>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</si>
  <si>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</si>
  <si>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</si>
  <si>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</si>
  <si>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</si>
  <si>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</si>
  <si>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</si>
  <si>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</si>
  <si>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</si>
  <si>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</si>
  <si>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</si>
  <si>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</si>
  <si>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</si>
  <si>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</si>
  <si>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</si>
  <si>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</si>
  <si>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</si>
  <si>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</si>
  <si>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</si>
  <si>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</si>
  <si>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</si>
  <si>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</si>
  <si>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</si>
  <si>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</si>
  <si>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</si>
  <si>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</si>
  <si>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</si>
  <si>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</si>
  <si>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</si>
  <si>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</si>
  <si>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</si>
  <si>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</si>
  <si>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</si>
  <si>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</si>
  <si>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</si>
  <si>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</si>
  <si>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</si>
  <si>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</si>
  <si>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</si>
  <si>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</si>
  <si>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</si>
  <si>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</si>
  <si>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</si>
  <si>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</si>
  <si>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</si>
  <si>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</si>
  <si>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</si>
  <si>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</si>
  <si>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</si>
  <si>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</si>
  <si>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</si>
  <si>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</si>
  <si>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</si>
  <si>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</si>
  <si>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</si>
  <si>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</si>
  <si>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</si>
  <si>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</si>
  <si>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</si>
  <si>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</si>
  <si>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</si>
  <si>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</si>
  <si>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</si>
  <si>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</si>
  <si>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</si>
  <si>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</si>
  <si>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</si>
  <si>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</si>
  <si>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</si>
  <si>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</si>
  <si>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</si>
  <si>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</si>
  <si>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</si>
  <si>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</si>
  <si>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</si>
  <si>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</si>
  <si>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</si>
  <si>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</si>
  <si>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</si>
  <si>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</si>
  <si>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</si>
  <si>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</si>
  <si>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</si>
  <si>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</si>
  <si>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</si>
  <si>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</si>
  <si>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</si>
  <si>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</si>
  <si>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</si>
  <si>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</si>
  <si>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</si>
  <si>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</si>
  <si>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</si>
  <si>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</si>
  <si>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</si>
  <si>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</si>
  <si>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</si>
  <si>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</si>
  <si>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</si>
  <si>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</si>
  <si>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</si>
  <si>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</si>
  <si>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</si>
  <si>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</si>
  <si>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</si>
  <si>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</si>
  <si>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</si>
  <si>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</si>
  <si>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</si>
  <si>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</si>
  <si>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</si>
  <si>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</si>
  <si>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</si>
  <si>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</si>
  <si>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</si>
  <si>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</si>
  <si>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</si>
  <si>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</si>
  <si>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</si>
  <si>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</si>
  <si>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</si>
  <si>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</si>
  <si>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</si>
  <si>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</si>
  <si>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</si>
  <si>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</si>
  <si>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</si>
  <si>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</si>
  <si>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</si>
  <si>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</si>
  <si>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</si>
  <si>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</si>
  <si>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</si>
  <si>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</si>
  <si>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</si>
  <si>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</si>
  <si>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</si>
  <si>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</si>
  <si>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</si>
  <si>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</si>
  <si>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</si>
  <si>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</si>
  <si>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</si>
  <si>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</si>
  <si>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</si>
  <si>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</si>
  <si>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</si>
  <si>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</si>
  <si>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</si>
  <si>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</si>
  <si>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</si>
  <si>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</si>
  <si>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</si>
  <si>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</si>
  <si>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</si>
  <si>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</si>
  <si>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</si>
  <si>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</si>
  <si>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</si>
  <si>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</si>
  <si>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</si>
  <si>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</si>
  <si>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</si>
  <si>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</si>
  <si>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</si>
  <si>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</si>
  <si>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</si>
  <si>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</si>
  <si>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</si>
  <si>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</si>
  <si>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</si>
  <si>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</si>
  <si>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</si>
  <si>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</si>
  <si>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 xml:space="preserve">Participim nga donatoret  e jashtme </t>
  </si>
  <si>
    <t>Gjithsej 2024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</si>
  <si>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</si>
  <si>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</si>
  <si>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</si>
  <si>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</si>
  <si>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</si>
  <si>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</si>
  <si>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</si>
  <si>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</si>
  <si>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</si>
  <si>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</si>
  <si>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</si>
  <si>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</si>
  <si>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2025 shkurt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</si>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</sst>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.0;[Red]#,##0.0"/>
    <numFmt numFmtId="167" formatCode="#,##0.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sz val="9"/>
      <color indexed="8"/>
      <name val="Arial"/>
      <family val="2"/>
    </font>
    <font>
      <sz val="9"/>
      <color theme="1"/>
      <name val="Verdana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1"/>
      <color theme="3" tint="-0.249977111117893"/>
      <name val="Times New Roman"/>
      <family val="1"/>
    </font>
    <font>
      <sz val="11"/>
      <color rgb="FF000000"/>
      <name val="Arial Narrow"/>
      <family val="2"/>
    </font>
    <font>
      <sz val="11"/>
      <color indexed="81"/>
      <name val="Tahoma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b/>
      <sz val="8"/>
      <color indexed="8"/>
      <name val="Arial Narrow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1" applyBorder="0"/>
  </cellStyleXfs>
  <cellXfs count="37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9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4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0" fontId="17" fillId="34" borderId="29" xfId="0" applyFont="1" applyFill="1" applyBorder="1" applyProtection="1">
      <protection hidden="1"/>
    </xf>
    <xf numFmtId="164" fontId="17" fillId="34" borderId="29" xfId="1" applyNumberFormat="1" applyFont="1" applyFill="1" applyBorder="1" applyProtection="1">
      <protection hidden="1"/>
    </xf>
    <xf numFmtId="164" fontId="17" fillId="34" borderId="29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Protection="1">
      <protection hidden="1"/>
    </xf>
    <xf numFmtId="4" fontId="0" fillId="0" borderId="10" xfId="0" applyNumberFormat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164" fontId="33" fillId="0" borderId="10" xfId="1" applyNumberFormat="1" applyFont="1" applyBorder="1" applyAlignment="1" applyProtection="1">
      <alignment horizontal="left"/>
      <protection hidden="1"/>
    </xf>
    <xf numFmtId="0" fontId="17" fillId="2" borderId="12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3" fontId="0" fillId="0" borderId="0" xfId="0" applyNumberFormat="1" applyProtection="1">
      <protection hidden="1"/>
    </xf>
    <xf numFmtId="3" fontId="0" fillId="0" borderId="10" xfId="1" applyNumberFormat="1" applyFont="1" applyFill="1" applyBorder="1" applyProtection="1">
      <protection hidden="1"/>
    </xf>
    <xf numFmtId="3" fontId="21" fillId="0" borderId="10" xfId="1" applyNumberFormat="1" applyFont="1" applyBorder="1" applyProtection="1">
      <protection hidden="1"/>
    </xf>
    <xf numFmtId="3" fontId="21" fillId="0" borderId="33" xfId="1" applyNumberFormat="1" applyFont="1" applyBorder="1" applyProtection="1">
      <protection hidden="1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35" fillId="38" borderId="11" xfId="1" applyNumberFormat="1" applyFont="1" applyFill="1" applyBorder="1" applyAlignment="1">
      <alignment horizontal="right"/>
    </xf>
    <xf numFmtId="3" fontId="35" fillId="2" borderId="11" xfId="119" applyNumberFormat="1" applyFont="1" applyFill="1" applyBorder="1" applyAlignment="1">
      <alignment horizontal="right"/>
    </xf>
    <xf numFmtId="3" fontId="35" fillId="38" borderId="11" xfId="119" applyNumberFormat="1" applyFont="1" applyFill="1" applyBorder="1" applyAlignment="1">
      <alignment horizontal="right"/>
    </xf>
    <xf numFmtId="4" fontId="34" fillId="0" borderId="32" xfId="0" applyNumberFormat="1" applyFont="1" applyBorder="1" applyAlignment="1">
      <alignment wrapText="1"/>
    </xf>
    <xf numFmtId="4" fontId="36" fillId="38" borderId="35" xfId="0" applyNumberFormat="1" applyFont="1" applyFill="1" applyBorder="1" applyAlignment="1">
      <alignment vertical="center" wrapText="1"/>
    </xf>
    <xf numFmtId="4" fontId="21" fillId="2" borderId="29" xfId="1" applyNumberFormat="1" applyFont="1" applyFill="1" applyBorder="1" applyAlignment="1" applyProtection="1">
      <protection hidden="1"/>
    </xf>
    <xf numFmtId="4" fontId="21" fillId="0" borderId="10" xfId="1" applyNumberFormat="1" applyFont="1" applyBorder="1" applyAlignment="1" applyProtection="1">
      <protection hidden="1"/>
    </xf>
    <xf numFmtId="4" fontId="21" fillId="0" borderId="10" xfId="1" applyNumberFormat="1" applyFont="1" applyBorder="1" applyAlignment="1" applyProtection="1">
      <alignment horizontal="right"/>
      <protection hidden="1"/>
    </xf>
    <xf numFmtId="4" fontId="21" fillId="0" borderId="10" xfId="1" applyNumberFormat="1" applyFont="1" applyFill="1" applyBorder="1" applyAlignment="1" applyProtection="1">
      <protection hidden="1"/>
    </xf>
    <xf numFmtId="4" fontId="0" fillId="0" borderId="10" xfId="1" applyNumberFormat="1" applyFont="1" applyBorder="1" applyAlignment="1" applyProtection="1">
      <protection hidden="1"/>
    </xf>
    <xf numFmtId="4" fontId="0" fillId="0" borderId="10" xfId="1" applyNumberFormat="1" applyFont="1" applyBorder="1" applyAlignment="1" applyProtection="1">
      <alignment horizontal="right"/>
      <protection hidden="1"/>
    </xf>
    <xf numFmtId="4" fontId="32" fillId="0" borderId="12" xfId="0" applyNumberFormat="1" applyFont="1" applyBorder="1"/>
    <xf numFmtId="4" fontId="0" fillId="0" borderId="36" xfId="1" applyNumberFormat="1" applyFont="1" applyFill="1" applyBorder="1" applyProtection="1">
      <protection hidden="1"/>
    </xf>
    <xf numFmtId="3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3" fontId="0" fillId="0" borderId="10" xfId="1" applyNumberFormat="1" applyFont="1" applyBorder="1" applyAlignme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21" fillId="0" borderId="10" xfId="0" applyFont="1" applyBorder="1"/>
    <xf numFmtId="0" fontId="21" fillId="2" borderId="0" xfId="0" applyFont="1" applyFill="1"/>
    <xf numFmtId="3" fontId="38" fillId="0" borderId="10" xfId="1" applyNumberFormat="1" applyFont="1" applyBorder="1" applyAlignment="1">
      <alignment horizontal="right"/>
    </xf>
    <xf numFmtId="3" fontId="38" fillId="2" borderId="10" xfId="0" applyNumberFormat="1" applyFont="1" applyFill="1" applyBorder="1" applyAlignment="1">
      <alignment horizontal="right"/>
    </xf>
    <xf numFmtId="4" fontId="35" fillId="0" borderId="32" xfId="0" applyNumberFormat="1" applyFont="1" applyBorder="1" applyAlignment="1">
      <alignment wrapText="1"/>
    </xf>
    <xf numFmtId="3" fontId="35" fillId="0" borderId="10" xfId="1" applyNumberFormat="1" applyFont="1" applyBorder="1" applyAlignment="1">
      <alignment horizontal="right"/>
    </xf>
    <xf numFmtId="3" fontId="38" fillId="0" borderId="11" xfId="1" applyNumberFormat="1" applyFont="1" applyBorder="1" applyAlignment="1">
      <alignment horizontal="right"/>
    </xf>
    <xf numFmtId="3" fontId="38" fillId="2" borderId="0" xfId="0" applyNumberFormat="1" applyFont="1" applyFill="1" applyAlignment="1">
      <alignment horizontal="right"/>
    </xf>
    <xf numFmtId="3" fontId="35" fillId="0" borderId="11" xfId="1" applyNumberFormat="1" applyFont="1" applyBorder="1" applyAlignment="1">
      <alignment horizontal="right"/>
    </xf>
    <xf numFmtId="3" fontId="38" fillId="0" borderId="10" xfId="1" applyNumberFormat="1" applyFont="1" applyFill="1" applyBorder="1" applyAlignment="1">
      <alignment horizontal="right"/>
    </xf>
    <xf numFmtId="3" fontId="35" fillId="0" borderId="32" xfId="0" applyNumberFormat="1" applyFont="1" applyBorder="1" applyAlignment="1">
      <alignment wrapText="1"/>
    </xf>
    <xf numFmtId="3" fontId="35" fillId="0" borderId="10" xfId="0" applyNumberFormat="1" applyFont="1" applyBorder="1" applyAlignment="1">
      <alignment horizontal="right"/>
    </xf>
    <xf numFmtId="3" fontId="35" fillId="0" borderId="12" xfId="0" applyNumberFormat="1" applyFont="1" applyBorder="1"/>
    <xf numFmtId="4" fontId="39" fillId="0" borderId="12" xfId="139" applyNumberFormat="1" applyFont="1" applyBorder="1"/>
    <xf numFmtId="4" fontId="35" fillId="0" borderId="12" xfId="139" applyNumberFormat="1" applyFont="1" applyBorder="1" applyAlignment="1">
      <alignment wrapText="1"/>
    </xf>
    <xf numFmtId="4" fontId="35" fillId="0" borderId="12" xfId="0" applyNumberFormat="1" applyFont="1" applyBorder="1"/>
    <xf numFmtId="4" fontId="36" fillId="38" borderId="35" xfId="0" applyNumberFormat="1" applyFont="1" applyFill="1" applyBorder="1" applyAlignment="1">
      <alignment horizontal="right" vertical="center" wrapText="1"/>
    </xf>
    <xf numFmtId="3" fontId="37" fillId="0" borderId="0" xfId="0" applyNumberFormat="1" applyFont="1"/>
    <xf numFmtId="3" fontId="21" fillId="0" borderId="10" xfId="1" applyNumberFormat="1" applyFont="1" applyBorder="1" applyAlignment="1" applyProtection="1">
      <protection hidden="1"/>
    </xf>
    <xf numFmtId="3" fontId="21" fillId="0" borderId="10" xfId="1" applyNumberFormat="1" applyFont="1" applyFill="1" applyBorder="1" applyAlignment="1" applyProtection="1">
      <protection hidden="1"/>
    </xf>
    <xf numFmtId="4" fontId="40" fillId="38" borderId="37" xfId="0" applyNumberFormat="1" applyFont="1" applyFill="1" applyBorder="1" applyAlignment="1">
      <alignment vertical="center" wrapText="1"/>
    </xf>
    <xf numFmtId="3" fontId="0" fillId="0" borderId="22" xfId="1" applyNumberFormat="1" applyFont="1" applyBorder="1" applyProtection="1">
      <protection hidden="1"/>
    </xf>
    <xf numFmtId="3" fontId="0" fillId="0" borderId="22" xfId="1" applyNumberFormat="1" applyFont="1" applyFill="1" applyBorder="1" applyProtection="1">
      <protection hidden="1"/>
    </xf>
    <xf numFmtId="3" fontId="21" fillId="0" borderId="22" xfId="1" applyNumberFormat="1" applyFont="1" applyFill="1" applyBorder="1" applyProtection="1">
      <protection hidden="1"/>
    </xf>
    <xf numFmtId="3" fontId="21" fillId="0" borderId="22" xfId="1" applyNumberFormat="1" applyFont="1" applyBorder="1" applyProtection="1">
      <protection hidden="1"/>
    </xf>
    <xf numFmtId="3" fontId="0" fillId="0" borderId="12" xfId="0" applyNumberForma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3" fontId="0" fillId="0" borderId="40" xfId="1" applyNumberFormat="1" applyFont="1" applyBorder="1" applyProtection="1">
      <protection hidden="1"/>
    </xf>
    <xf numFmtId="4" fontId="0" fillId="0" borderId="12" xfId="0" applyNumberFormat="1" applyBorder="1"/>
    <xf numFmtId="3" fontId="0" fillId="0" borderId="12" xfId="1" applyNumberFormat="1" applyFont="1" applyFill="1" applyBorder="1" applyProtection="1">
      <protection hidden="1"/>
    </xf>
    <xf numFmtId="164" fontId="0" fillId="0" borderId="40" xfId="1" applyNumberFormat="1" applyFont="1" applyBorder="1" applyProtection="1">
      <protection hidden="1"/>
    </xf>
    <xf numFmtId="3" fontId="21" fillId="0" borderId="12" xfId="1" applyNumberFormat="1" applyFont="1" applyFill="1" applyBorder="1" applyProtection="1">
      <protection hidden="1"/>
    </xf>
    <xf numFmtId="0" fontId="0" fillId="0" borderId="12" xfId="0" applyBorder="1" applyProtection="1">
      <protection hidden="1"/>
    </xf>
    <xf numFmtId="4" fontId="40" fillId="38" borderId="12" xfId="0" applyNumberFormat="1" applyFont="1" applyFill="1" applyBorder="1" applyAlignment="1">
      <alignment vertical="center" wrapText="1"/>
    </xf>
    <xf numFmtId="3" fontId="37" fillId="0" borderId="12" xfId="0" applyNumberFormat="1" applyFont="1" applyBorder="1"/>
    <xf numFmtId="3" fontId="0" fillId="0" borderId="25" xfId="1" applyNumberFormat="1" applyFont="1" applyBorder="1" applyProtection="1">
      <protection hidden="1"/>
    </xf>
    <xf numFmtId="164" fontId="0" fillId="0" borderId="39" xfId="1" applyNumberFormat="1" applyFont="1" applyBorder="1" applyProtection="1">
      <protection hidden="1"/>
    </xf>
    <xf numFmtId="4" fontId="38" fillId="0" borderId="10" xfId="1" applyNumberFormat="1" applyFont="1" applyBorder="1" applyAlignment="1">
      <alignment horizontal="right"/>
    </xf>
    <xf numFmtId="4" fontId="21" fillId="0" borderId="0" xfId="0" applyNumberFormat="1" applyFont="1"/>
    <xf numFmtId="4" fontId="41" fillId="38" borderId="41" xfId="0" applyNumberFormat="1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4" fontId="0" fillId="0" borderId="0" xfId="0" applyNumberFormat="1" applyProtection="1">
      <protection hidden="1"/>
    </xf>
    <xf numFmtId="4" fontId="35" fillId="0" borderId="0" xfId="0" applyNumberFormat="1" applyFont="1"/>
    <xf numFmtId="3" fontId="35" fillId="0" borderId="12" xfId="139" applyNumberFormat="1" applyFont="1" applyBorder="1"/>
    <xf numFmtId="3" fontId="35" fillId="0" borderId="12" xfId="139" applyNumberFormat="1" applyFont="1" applyBorder="1" applyAlignment="1">
      <alignment wrapText="1"/>
    </xf>
    <xf numFmtId="3" fontId="35" fillId="0" borderId="0" xfId="0" applyNumberFormat="1" applyFont="1"/>
    <xf numFmtId="3" fontId="21" fillId="0" borderId="10" xfId="1" applyNumberFormat="1" applyFont="1" applyBorder="1" applyAlignment="1" applyProtection="1">
      <alignment horizontal="right"/>
      <protection hidden="1"/>
    </xf>
    <xf numFmtId="3" fontId="0" fillId="0" borderId="10" xfId="1" applyNumberFormat="1" applyFont="1" applyBorder="1" applyAlignment="1" applyProtection="1">
      <alignment horizontal="right"/>
      <protection hidden="1"/>
    </xf>
    <xf numFmtId="4" fontId="1" fillId="2" borderId="38" xfId="0" applyNumberFormat="1" applyFont="1" applyFill="1" applyBorder="1"/>
    <xf numFmtId="4" fontId="1" fillId="0" borderId="32" xfId="0" applyNumberFormat="1" applyFont="1" applyBorder="1"/>
    <xf numFmtId="43" fontId="42" fillId="0" borderId="12" xfId="1" applyFont="1" applyFill="1" applyBorder="1" applyAlignment="1">
      <alignment horizontal="right" vertical="center" wrapText="1"/>
    </xf>
    <xf numFmtId="43" fontId="43" fillId="0" borderId="12" xfId="1" applyFont="1" applyFill="1" applyBorder="1" applyAlignment="1">
      <alignment horizontal="right" vertical="center" wrapText="1"/>
    </xf>
    <xf numFmtId="3" fontId="1" fillId="0" borderId="10" xfId="1" applyNumberFormat="1" applyFont="1" applyBorder="1" applyAlignment="1">
      <alignment horizontal="right"/>
    </xf>
    <xf numFmtId="3" fontId="21" fillId="0" borderId="12" xfId="0" applyNumberFormat="1" applyFont="1" applyBorder="1"/>
    <xf numFmtId="3" fontId="1" fillId="0" borderId="10" xfId="1" applyNumberFormat="1" applyFont="1" applyBorder="1"/>
    <xf numFmtId="165" fontId="35" fillId="2" borderId="34" xfId="0" applyNumberFormat="1" applyFont="1" applyFill="1" applyBorder="1" applyAlignment="1">
      <alignment horizontal="right"/>
    </xf>
    <xf numFmtId="4" fontId="1" fillId="0" borderId="12" xfId="0" applyNumberFormat="1" applyFont="1" applyBorder="1"/>
    <xf numFmtId="4" fontId="1" fillId="0" borderId="0" xfId="0" applyNumberFormat="1" applyFont="1"/>
    <xf numFmtId="3" fontId="44" fillId="2" borderId="13" xfId="0" applyNumberFormat="1" applyFont="1" applyFill="1" applyBorder="1" applyAlignment="1">
      <alignment horizontal="right"/>
    </xf>
    <xf numFmtId="3" fontId="42" fillId="0" borderId="12" xfId="1" applyNumberFormat="1" applyFont="1" applyFill="1" applyBorder="1" applyAlignment="1">
      <alignment horizontal="right" vertical="center" wrapText="1"/>
    </xf>
    <xf numFmtId="3" fontId="43" fillId="0" borderId="12" xfId="1" applyNumberFormat="1" applyFont="1" applyFill="1" applyBorder="1" applyAlignment="1">
      <alignment horizontal="right" vertical="center" wrapText="1"/>
    </xf>
    <xf numFmtId="4" fontId="1" fillId="2" borderId="32" xfId="0" applyNumberFormat="1" applyFont="1" applyFill="1" applyBorder="1"/>
    <xf numFmtId="4" fontId="46" fillId="2" borderId="12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34" borderId="10" xfId="0" applyFill="1" applyBorder="1"/>
    <xf numFmtId="3" fontId="1" fillId="34" borderId="10" xfId="1" applyNumberFormat="1" applyFont="1" applyFill="1" applyBorder="1"/>
    <xf numFmtId="165" fontId="29" fillId="2" borderId="12" xfId="0" applyNumberFormat="1" applyFont="1" applyFill="1" applyBorder="1" applyAlignment="1">
      <alignment vertical="center" wrapText="1"/>
    </xf>
    <xf numFmtId="165" fontId="29" fillId="2" borderId="12" xfId="0" applyNumberFormat="1" applyFont="1" applyFill="1" applyBorder="1" applyAlignment="1">
      <alignment horizontal="right" vertical="center" wrapText="1"/>
    </xf>
    <xf numFmtId="165" fontId="47" fillId="39" borderId="12" xfId="0" applyNumberFormat="1" applyFont="1" applyFill="1" applyBorder="1" applyAlignment="1">
      <alignment vertical="center"/>
    </xf>
    <xf numFmtId="165" fontId="29" fillId="2" borderId="12" xfId="1" applyNumberFormat="1" applyFont="1" applyFill="1" applyBorder="1" applyAlignment="1">
      <alignment vertical="center"/>
    </xf>
    <xf numFmtId="165" fontId="47" fillId="2" borderId="12" xfId="0" applyNumberFormat="1" applyFont="1" applyFill="1" applyBorder="1" applyAlignment="1">
      <alignment vertical="center" wrapText="1"/>
    </xf>
    <xf numFmtId="165" fontId="29" fillId="2" borderId="12" xfId="0" applyNumberFormat="1" applyFont="1" applyFill="1" applyBorder="1" applyAlignment="1">
      <alignment vertical="center"/>
    </xf>
    <xf numFmtId="165" fontId="47" fillId="2" borderId="12" xfId="0" applyNumberFormat="1" applyFont="1" applyFill="1" applyBorder="1" applyAlignment="1">
      <alignment horizontal="right" vertical="center" wrapText="1"/>
    </xf>
    <xf numFmtId="165" fontId="48" fillId="2" borderId="12" xfId="0" applyNumberFormat="1" applyFont="1" applyFill="1" applyBorder="1"/>
    <xf numFmtId="165" fontId="48" fillId="0" borderId="12" xfId="0" applyNumberFormat="1" applyFont="1" applyBorder="1"/>
    <xf numFmtId="164" fontId="17" fillId="34" borderId="45" xfId="1" applyNumberFormat="1" applyFont="1" applyFill="1" applyBorder="1" applyProtection="1">
      <protection hidden="1"/>
    </xf>
    <xf numFmtId="164" fontId="17" fillId="34" borderId="45" xfId="1" applyNumberFormat="1" applyFont="1" applyFill="1" applyBorder="1" applyAlignment="1" applyProtection="1">
      <alignment horizontal="center"/>
      <protection hidden="1"/>
    </xf>
    <xf numFmtId="3" fontId="0" fillId="0" borderId="33" xfId="1" applyNumberFormat="1" applyFont="1" applyBorder="1" applyProtection="1">
      <protection hidden="1"/>
    </xf>
    <xf numFmtId="3" fontId="21" fillId="2" borderId="33" xfId="1" applyNumberFormat="1" applyFont="1" applyFill="1" applyBorder="1" applyAlignment="1" applyProtection="1">
      <protection hidden="1"/>
    </xf>
    <xf numFmtId="4" fontId="0" fillId="0" borderId="33" xfId="0" applyNumberFormat="1" applyBorder="1"/>
    <xf numFmtId="3" fontId="21" fillId="0" borderId="33" xfId="1" applyNumberFormat="1" applyFont="1" applyBorder="1" applyAlignment="1" applyProtection="1">
      <protection hidden="1"/>
    </xf>
    <xf numFmtId="3" fontId="0" fillId="0" borderId="33" xfId="0" applyNumberFormat="1" applyBorder="1" applyProtection="1">
      <protection hidden="1"/>
    </xf>
    <xf numFmtId="3" fontId="21" fillId="2" borderId="10" xfId="1" applyNumberFormat="1" applyFont="1" applyFill="1" applyBorder="1" applyAlignment="1" applyProtection="1">
      <protection hidden="1"/>
    </xf>
    <xf numFmtId="4" fontId="0" fillId="0" borderId="10" xfId="0" applyNumberFormat="1" applyBorder="1"/>
    <xf numFmtId="3" fontId="0" fillId="0" borderId="10" xfId="0" applyNumberFormat="1" applyBorder="1"/>
    <xf numFmtId="3" fontId="21" fillId="0" borderId="10" xfId="1" applyNumberFormat="1" applyFont="1" applyFill="1" applyBorder="1" applyProtection="1">
      <protection hidden="1"/>
    </xf>
    <xf numFmtId="3" fontId="40" fillId="38" borderId="10" xfId="0" applyNumberFormat="1" applyFont="1" applyFill="1" applyBorder="1" applyAlignment="1">
      <alignment vertical="center" wrapText="1"/>
    </xf>
    <xf numFmtId="3" fontId="37" fillId="0" borderId="10" xfId="0" applyNumberFormat="1" applyFont="1" applyBorder="1"/>
    <xf numFmtId="3" fontId="0" fillId="0" borderId="10" xfId="0" applyNumberFormat="1" applyBorder="1" applyAlignment="1" applyProtection="1">
      <alignment horizontal="right"/>
      <protection hidden="1"/>
    </xf>
    <xf numFmtId="4" fontId="21" fillId="2" borderId="10" xfId="1" applyNumberFormat="1" applyFont="1" applyFill="1" applyBorder="1" applyAlignment="1" applyProtection="1">
      <protection hidden="1"/>
    </xf>
    <xf numFmtId="3" fontId="36" fillId="38" borderId="10" xfId="0" applyNumberFormat="1" applyFont="1" applyFill="1" applyBorder="1" applyAlignment="1">
      <alignment vertical="center" wrapText="1"/>
    </xf>
    <xf numFmtId="4" fontId="0" fillId="0" borderId="10" xfId="1" applyNumberFormat="1" applyFont="1" applyFill="1" applyBorder="1" applyProtection="1">
      <protection hidden="1"/>
    </xf>
    <xf numFmtId="4" fontId="41" fillId="38" borderId="10" xfId="0" applyNumberFormat="1" applyFont="1" applyFill="1" applyBorder="1" applyAlignment="1">
      <alignment vertical="center" wrapText="1"/>
    </xf>
    <xf numFmtId="4" fontId="36" fillId="38" borderId="10" xfId="0" applyNumberFormat="1" applyFont="1" applyFill="1" applyBorder="1" applyAlignment="1">
      <alignment horizontal="right" vertical="center" wrapText="1"/>
    </xf>
    <xf numFmtId="4" fontId="35" fillId="2" borderId="10" xfId="0" applyNumberFormat="1" applyFont="1" applyFill="1" applyBorder="1" applyAlignment="1">
      <alignment horizontal="right"/>
    </xf>
    <xf numFmtId="4" fontId="35" fillId="0" borderId="10" xfId="1" applyNumberFormat="1" applyFont="1" applyBorder="1" applyAlignment="1">
      <alignment horizontal="right"/>
    </xf>
    <xf numFmtId="165" fontId="46" fillId="41" borderId="0" xfId="0" applyNumberFormat="1" applyFont="1" applyFill="1" applyAlignment="1">
      <alignment vertical="center"/>
    </xf>
    <xf numFmtId="166" fontId="21" fillId="2" borderId="0" xfId="0" applyNumberFormat="1" applyFont="1" applyFill="1"/>
    <xf numFmtId="165" fontId="46" fillId="40" borderId="0" xfId="0" applyNumberFormat="1" applyFont="1" applyFill="1" applyAlignment="1">
      <alignment horizontal="right" vertical="center"/>
    </xf>
    <xf numFmtId="165" fontId="48" fillId="0" borderId="0" xfId="0" applyNumberFormat="1" applyFont="1"/>
    <xf numFmtId="165" fontId="48" fillId="2" borderId="0" xfId="0" applyNumberFormat="1" applyFont="1" applyFill="1"/>
    <xf numFmtId="164" fontId="23" fillId="34" borderId="45" xfId="1" applyNumberFormat="1" applyFont="1" applyFill="1" applyBorder="1" applyAlignment="1" applyProtection="1">
      <alignment horizontal="center"/>
      <protection hidden="1"/>
    </xf>
    <xf numFmtId="165" fontId="29" fillId="2" borderId="13" xfId="0" applyNumberFormat="1" applyFont="1" applyFill="1" applyBorder="1" applyAlignment="1">
      <alignment vertical="center"/>
    </xf>
    <xf numFmtId="3" fontId="0" fillId="2" borderId="32" xfId="0" applyNumberFormat="1" applyFill="1" applyBorder="1"/>
    <xf numFmtId="3" fontId="0" fillId="2" borderId="38" xfId="0" applyNumberFormat="1" applyFill="1" applyBorder="1"/>
    <xf numFmtId="4" fontId="29" fillId="0" borderId="13" xfId="0" applyNumberFormat="1" applyFont="1" applyBorder="1" applyAlignment="1">
      <alignment vertical="center"/>
    </xf>
    <xf numFmtId="4" fontId="49" fillId="38" borderId="35" xfId="0" applyNumberFormat="1" applyFont="1" applyFill="1" applyBorder="1" applyAlignment="1">
      <alignment horizontal="right" vertical="center" wrapText="1"/>
    </xf>
    <xf numFmtId="165" fontId="29" fillId="2" borderId="12" xfId="0" applyNumberFormat="1" applyFont="1" applyFill="1" applyBorder="1" applyAlignment="1">
      <alignment horizontal="right" vertical="center"/>
    </xf>
    <xf numFmtId="3" fontId="21" fillId="0" borderId="10" xfId="0" applyNumberFormat="1" applyFont="1" applyBorder="1" applyProtection="1">
      <protection hidden="1"/>
    </xf>
    <xf numFmtId="165" fontId="50" fillId="2" borderId="12" xfId="0" applyNumberFormat="1" applyFont="1" applyFill="1" applyBorder="1" applyAlignment="1">
      <alignment vertical="center"/>
    </xf>
    <xf numFmtId="4" fontId="51" fillId="38" borderId="35" xfId="0" applyNumberFormat="1" applyFont="1" applyFill="1" applyBorder="1" applyAlignment="1">
      <alignment horizontal="right" vertical="center" wrapText="1"/>
    </xf>
    <xf numFmtId="165" fontId="52" fillId="2" borderId="12" xfId="0" applyNumberFormat="1" applyFont="1" applyFill="1" applyBorder="1" applyAlignment="1">
      <alignment horizontal="right" vertical="center" wrapText="1"/>
    </xf>
    <xf numFmtId="165" fontId="46" fillId="2" borderId="13" xfId="0" applyNumberFormat="1" applyFont="1" applyFill="1" applyBorder="1" applyAlignment="1">
      <alignment vertical="center"/>
    </xf>
    <xf numFmtId="165" fontId="46" fillId="2" borderId="13" xfId="0" applyNumberFormat="1" applyFont="1" applyFill="1" applyBorder="1" applyAlignment="1">
      <alignment horizontal="right" vertical="center"/>
    </xf>
    <xf numFmtId="165" fontId="52" fillId="39" borderId="12" xfId="0" applyNumberFormat="1" applyFont="1" applyFill="1" applyBorder="1" applyAlignment="1">
      <alignment vertical="center"/>
    </xf>
    <xf numFmtId="165" fontId="46" fillId="42" borderId="13" xfId="0" applyNumberFormat="1" applyFont="1" applyFill="1" applyBorder="1" applyAlignment="1">
      <alignment vertical="center"/>
    </xf>
    <xf numFmtId="165" fontId="46" fillId="39" borderId="12" xfId="0" applyNumberFormat="1" applyFont="1" applyFill="1" applyBorder="1" applyAlignment="1">
      <alignment horizontal="right" vertical="center"/>
    </xf>
    <xf numFmtId="4" fontId="0" fillId="0" borderId="46" xfId="0" applyNumberFormat="1" applyBorder="1"/>
    <xf numFmtId="4" fontId="0" fillId="0" borderId="47" xfId="0" applyNumberFormat="1" applyBorder="1"/>
    <xf numFmtId="4" fontId="53" fillId="38" borderId="35" xfId="0" applyNumberFormat="1" applyFont="1" applyFill="1" applyBorder="1" applyAlignment="1">
      <alignment horizontal="right" vertical="center" wrapText="1"/>
    </xf>
    <xf numFmtId="164" fontId="21" fillId="0" borderId="10" xfId="1" applyNumberFormat="1" applyFont="1" applyBorder="1" applyProtection="1">
      <protection hidden="1"/>
    </xf>
    <xf numFmtId="3" fontId="1" fillId="0" borderId="48" xfId="1" applyNumberFormat="1" applyFont="1" applyBorder="1"/>
    <xf numFmtId="3" fontId="1" fillId="0" borderId="49" xfId="1" applyNumberFormat="1" applyFont="1" applyBorder="1"/>
    <xf numFmtId="164" fontId="0" fillId="0" borderId="11" xfId="1" applyNumberFormat="1" applyFont="1" applyBorder="1" applyProtection="1">
      <protection hidden="1"/>
    </xf>
    <xf numFmtId="4" fontId="21" fillId="2" borderId="45" xfId="1" applyNumberFormat="1" applyFont="1" applyFill="1" applyBorder="1" applyAlignment="1" applyProtection="1">
      <protection hidden="1"/>
    </xf>
    <xf numFmtId="4" fontId="21" fillId="0" borderId="11" xfId="1" applyNumberFormat="1" applyFont="1" applyBorder="1" applyAlignment="1" applyProtection="1">
      <protection hidden="1"/>
    </xf>
    <xf numFmtId="4" fontId="21" fillId="0" borderId="11" xfId="1" applyNumberFormat="1" applyFont="1" applyBorder="1" applyAlignment="1" applyProtection="1">
      <alignment horizontal="right"/>
      <protection hidden="1"/>
    </xf>
    <xf numFmtId="3" fontId="21" fillId="0" borderId="11" xfId="1" applyNumberFormat="1" applyFont="1" applyBorder="1" applyProtection="1">
      <protection hidden="1"/>
    </xf>
    <xf numFmtId="3" fontId="21" fillId="0" borderId="50" xfId="1" applyNumberFormat="1" applyFont="1" applyBorder="1" applyProtection="1">
      <protection hidden="1"/>
    </xf>
    <xf numFmtId="4" fontId="40" fillId="38" borderId="15" xfId="0" applyNumberFormat="1" applyFont="1" applyFill="1" applyBorder="1" applyAlignment="1">
      <alignment vertical="center" wrapText="1"/>
    </xf>
    <xf numFmtId="164" fontId="0" fillId="0" borderId="44" xfId="1" applyNumberFormat="1" applyFont="1" applyBorder="1" applyProtection="1">
      <protection hidden="1"/>
    </xf>
    <xf numFmtId="4" fontId="40" fillId="38" borderId="51" xfId="0" applyNumberFormat="1" applyFont="1" applyFill="1" applyBorder="1" applyAlignment="1">
      <alignment vertical="center" wrapText="1"/>
    </xf>
    <xf numFmtId="3" fontId="0" fillId="0" borderId="11" xfId="1" applyNumberFormat="1" applyFont="1" applyBorder="1" applyProtection="1">
      <protection hidden="1"/>
    </xf>
    <xf numFmtId="164" fontId="0" fillId="0" borderId="33" xfId="1" applyNumberFormat="1" applyFont="1" applyBorder="1" applyProtection="1">
      <protection hidden="1"/>
    </xf>
    <xf numFmtId="4" fontId="21" fillId="2" borderId="33" xfId="1" applyNumberFormat="1" applyFont="1" applyFill="1" applyBorder="1" applyAlignment="1" applyProtection="1">
      <protection hidden="1"/>
    </xf>
    <xf numFmtId="4" fontId="21" fillId="0" borderId="33" xfId="1" applyNumberFormat="1" applyFont="1" applyBorder="1" applyAlignment="1" applyProtection="1">
      <protection hidden="1"/>
    </xf>
    <xf numFmtId="0" fontId="0" fillId="0" borderId="33" xfId="0" applyBorder="1" applyProtection="1">
      <protection hidden="1"/>
    </xf>
    <xf numFmtId="3" fontId="21" fillId="2" borderId="0" xfId="0" applyNumberFormat="1" applyFont="1" applyFill="1"/>
    <xf numFmtId="0" fontId="21" fillId="0" borderId="22" xfId="0" applyFont="1" applyBorder="1"/>
    <xf numFmtId="3" fontId="38" fillId="0" borderId="49" xfId="1" applyNumberFormat="1" applyFont="1" applyBorder="1" applyAlignment="1">
      <alignment horizontal="right"/>
    </xf>
    <xf numFmtId="3" fontId="35" fillId="2" borderId="49" xfId="119" applyNumberFormat="1" applyFont="1" applyFill="1" applyBorder="1" applyAlignment="1">
      <alignment horizontal="right"/>
    </xf>
    <xf numFmtId="3" fontId="39" fillId="0" borderId="13" xfId="139" applyNumberFormat="1" applyFont="1" applyBorder="1"/>
    <xf numFmtId="3" fontId="38" fillId="2" borderId="49" xfId="0" applyNumberFormat="1" applyFont="1" applyFill="1" applyBorder="1" applyAlignment="1">
      <alignment horizontal="right"/>
    </xf>
    <xf numFmtId="3" fontId="35" fillId="0" borderId="52" xfId="0" applyNumberFormat="1" applyFont="1" applyBorder="1" applyAlignment="1">
      <alignment wrapText="1"/>
    </xf>
    <xf numFmtId="3" fontId="35" fillId="0" borderId="49" xfId="1" applyNumberFormat="1" applyFont="1" applyBorder="1" applyAlignment="1">
      <alignment horizontal="right"/>
    </xf>
    <xf numFmtId="3" fontId="17" fillId="34" borderId="11" xfId="1" applyNumberFormat="1" applyFont="1" applyFill="1" applyBorder="1"/>
    <xf numFmtId="3" fontId="17" fillId="34" borderId="11" xfId="1" applyNumberFormat="1" applyFont="1" applyFill="1" applyBorder="1" applyAlignment="1">
      <alignment horizontal="center"/>
    </xf>
    <xf numFmtId="3" fontId="38" fillId="0" borderId="12" xfId="1" applyNumberFormat="1" applyFont="1" applyBorder="1" applyAlignment="1">
      <alignment horizontal="right"/>
    </xf>
    <xf numFmtId="3" fontId="35" fillId="2" borderId="12" xfId="119" applyNumberFormat="1" applyFont="1" applyFill="1" applyBorder="1" applyAlignment="1">
      <alignment horizontal="right"/>
    </xf>
    <xf numFmtId="3" fontId="35" fillId="38" borderId="12" xfId="119" applyNumberFormat="1" applyFont="1" applyFill="1" applyBorder="1" applyAlignment="1">
      <alignment horizontal="right"/>
    </xf>
    <xf numFmtId="3" fontId="38" fillId="2" borderId="12" xfId="0" applyNumberFormat="1" applyFont="1" applyFill="1" applyBorder="1" applyAlignment="1">
      <alignment horizontal="right"/>
    </xf>
    <xf numFmtId="3" fontId="35" fillId="0" borderId="12" xfId="1" applyNumberFormat="1" applyFont="1" applyBorder="1" applyAlignment="1">
      <alignment horizontal="right"/>
    </xf>
    <xf numFmtId="3" fontId="38" fillId="0" borderId="12" xfId="1" applyNumberFormat="1" applyFont="1" applyFill="1" applyBorder="1" applyAlignment="1">
      <alignment horizontal="right"/>
    </xf>
    <xf numFmtId="4" fontId="51" fillId="38" borderId="12" xfId="0" applyNumberFormat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vertical="center"/>
    </xf>
    <xf numFmtId="4" fontId="35" fillId="0" borderId="12" xfId="0" applyNumberFormat="1" applyFont="1" applyBorder="1" applyAlignment="1">
      <alignment wrapText="1"/>
    </xf>
    <xf numFmtId="165" fontId="46" fillId="2" borderId="12" xfId="0" applyNumberFormat="1" applyFont="1" applyFill="1" applyBorder="1" applyAlignment="1">
      <alignment horizontal="right" vertical="center"/>
    </xf>
    <xf numFmtId="3" fontId="35" fillId="2" borderId="12" xfId="0" applyNumberFormat="1" applyFont="1" applyFill="1" applyBorder="1" applyAlignment="1">
      <alignment horizontal="right"/>
    </xf>
    <xf numFmtId="4" fontId="38" fillId="0" borderId="12" xfId="1" applyNumberFormat="1" applyFont="1" applyBorder="1" applyAlignment="1">
      <alignment horizontal="right"/>
    </xf>
    <xf numFmtId="3" fontId="1" fillId="0" borderId="12" xfId="1" applyNumberFormat="1" applyFont="1" applyBorder="1" applyAlignment="1">
      <alignment horizontal="right"/>
    </xf>
    <xf numFmtId="4" fontId="34" fillId="0" borderId="12" xfId="0" applyNumberFormat="1" applyFont="1" applyBorder="1" applyAlignment="1">
      <alignment wrapText="1"/>
    </xf>
    <xf numFmtId="3" fontId="1" fillId="0" borderId="12" xfId="1" applyNumberFormat="1" applyFont="1" applyBorder="1"/>
    <xf numFmtId="165" fontId="35" fillId="2" borderId="12" xfId="0" applyNumberFormat="1" applyFont="1" applyFill="1" applyBorder="1" applyAlignment="1">
      <alignment horizontal="right"/>
    </xf>
    <xf numFmtId="43" fontId="42" fillId="2" borderId="12" xfId="1" applyFont="1" applyFill="1" applyBorder="1" applyAlignment="1">
      <alignment horizontal="right" vertical="center" wrapText="1"/>
    </xf>
    <xf numFmtId="4" fontId="35" fillId="2" borderId="12" xfId="0" applyNumberFormat="1" applyFont="1" applyFill="1" applyBorder="1"/>
    <xf numFmtId="3" fontId="35" fillId="2" borderId="12" xfId="1" applyNumberFormat="1" applyFont="1" applyFill="1" applyBorder="1" applyAlignment="1">
      <alignment horizontal="right"/>
    </xf>
    <xf numFmtId="43" fontId="43" fillId="2" borderId="12" xfId="1" applyFont="1" applyFill="1" applyBorder="1" applyAlignment="1">
      <alignment horizontal="right" vertical="center" wrapText="1"/>
    </xf>
    <xf numFmtId="165" fontId="52" fillId="2" borderId="12" xfId="0" applyNumberFormat="1" applyFont="1" applyFill="1" applyBorder="1" applyAlignment="1">
      <alignment vertical="center"/>
    </xf>
    <xf numFmtId="3" fontId="35" fillId="2" borderId="12" xfId="0" applyNumberFormat="1" applyFont="1" applyFill="1" applyBorder="1" applyAlignment="1">
      <alignment wrapText="1"/>
    </xf>
    <xf numFmtId="3" fontId="35" fillId="2" borderId="12" xfId="0" applyNumberFormat="1" applyFont="1" applyFill="1" applyBorder="1"/>
    <xf numFmtId="4" fontId="35" fillId="2" borderId="12" xfId="0" applyNumberFormat="1" applyFont="1" applyFill="1" applyBorder="1" applyAlignment="1">
      <alignment wrapText="1"/>
    </xf>
    <xf numFmtId="4" fontId="21" fillId="2" borderId="12" xfId="0" applyNumberFormat="1" applyFont="1" applyFill="1" applyBorder="1"/>
    <xf numFmtId="3" fontId="21" fillId="2" borderId="12" xfId="0" applyNumberFormat="1" applyFont="1" applyFill="1" applyBorder="1"/>
    <xf numFmtId="3" fontId="21" fillId="2" borderId="12" xfId="1" applyNumberFormat="1" applyFont="1" applyFill="1" applyBorder="1" applyAlignment="1">
      <alignment horizontal="right"/>
    </xf>
    <xf numFmtId="1" fontId="35" fillId="38" borderId="49" xfId="1" applyNumberFormat="1" applyFont="1" applyFill="1" applyBorder="1" applyAlignment="1">
      <alignment horizontal="right"/>
    </xf>
    <xf numFmtId="1" fontId="35" fillId="38" borderId="12" xfId="1" applyNumberFormat="1" applyFont="1" applyFill="1" applyBorder="1" applyAlignment="1">
      <alignment horizontal="right"/>
    </xf>
    <xf numFmtId="1" fontId="0" fillId="2" borderId="12" xfId="0" applyNumberFormat="1" applyFill="1" applyBorder="1"/>
    <xf numFmtId="1" fontId="1" fillId="2" borderId="12" xfId="0" applyNumberFormat="1" applyFont="1" applyFill="1" applyBorder="1"/>
    <xf numFmtId="1" fontId="35" fillId="0" borderId="12" xfId="0" applyNumberFormat="1" applyFont="1" applyBorder="1" applyAlignment="1">
      <alignment wrapText="1"/>
    </xf>
    <xf numFmtId="1" fontId="0" fillId="2" borderId="0" xfId="0" applyNumberFormat="1" applyFill="1"/>
    <xf numFmtId="1" fontId="48" fillId="2" borderId="12" xfId="0" applyNumberFormat="1" applyFont="1" applyFill="1" applyBorder="1"/>
    <xf numFmtId="1" fontId="34" fillId="0" borderId="12" xfId="0" applyNumberFormat="1" applyFont="1" applyBorder="1" applyAlignment="1">
      <alignment wrapText="1"/>
    </xf>
    <xf numFmtId="167" fontId="0" fillId="2" borderId="0" xfId="0" applyNumberFormat="1" applyFill="1"/>
    <xf numFmtId="0" fontId="22" fillId="2" borderId="12" xfId="0" applyFont="1" applyFill="1" applyBorder="1" applyAlignment="1">
      <alignment horizontal="center" vertical="center"/>
    </xf>
    <xf numFmtId="164" fontId="22" fillId="2" borderId="12" xfId="1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3" fontId="56" fillId="2" borderId="0" xfId="0" applyNumberFormat="1" applyFont="1" applyFill="1"/>
    <xf numFmtId="0" fontId="22" fillId="34" borderId="10" xfId="0" applyFont="1" applyFill="1" applyBorder="1"/>
    <xf numFmtId="0" fontId="56" fillId="2" borderId="0" xfId="0" applyFont="1" applyFill="1"/>
    <xf numFmtId="0" fontId="21" fillId="0" borderId="0" xfId="0" applyFont="1" applyAlignment="1" applyProtection="1">
      <alignment horizontal="center" vertical="center"/>
      <protection hidden="1"/>
    </xf>
    <xf numFmtId="0" fontId="17" fillId="34" borderId="0" xfId="0" applyFont="1" applyFill="1" applyProtection="1">
      <protection hidden="1"/>
    </xf>
    <xf numFmtId="164" fontId="17" fillId="34" borderId="0" xfId="1" applyNumberFormat="1" applyFont="1" applyFill="1" applyBorder="1" applyProtection="1">
      <protection hidden="1"/>
    </xf>
    <xf numFmtId="164" fontId="17" fillId="34" borderId="0" xfId="1" applyNumberFormat="1" applyFont="1" applyFill="1" applyBorder="1" applyAlignment="1" applyProtection="1">
      <alignment horizontal="center"/>
      <protection hidden="1"/>
    </xf>
    <xf numFmtId="4" fontId="57" fillId="0" borderId="49" xfId="1" applyNumberFormat="1" applyFont="1" applyBorder="1" applyAlignment="1">
      <alignment horizontal="right"/>
    </xf>
    <xf numFmtId="4" fontId="58" fillId="38" borderId="49" xfId="1" applyNumberFormat="1" applyFont="1" applyFill="1" applyBorder="1" applyAlignment="1">
      <alignment horizontal="right"/>
    </xf>
    <xf numFmtId="4" fontId="58" fillId="2" borderId="49" xfId="119" applyNumberFormat="1" applyFont="1" applyFill="1" applyBorder="1" applyAlignment="1">
      <alignment horizontal="right"/>
    </xf>
    <xf numFmtId="4" fontId="59" fillId="0" borderId="13" xfId="139" applyNumberFormat="1" applyFont="1" applyBorder="1"/>
    <xf numFmtId="4" fontId="57" fillId="2" borderId="49" xfId="0" applyNumberFormat="1" applyFont="1" applyFill="1" applyBorder="1" applyAlignment="1">
      <alignment horizontal="right"/>
    </xf>
    <xf numFmtId="4" fontId="58" fillId="0" borderId="52" xfId="0" applyNumberFormat="1" applyFont="1" applyBorder="1" applyAlignment="1">
      <alignment wrapText="1"/>
    </xf>
    <xf numFmtId="4" fontId="58" fillId="0" borderId="49" xfId="1" applyNumberFormat="1" applyFont="1" applyBorder="1" applyAlignment="1">
      <alignment horizontal="right"/>
    </xf>
    <xf numFmtId="3" fontId="57" fillId="0" borderId="12" xfId="1" applyNumberFormat="1" applyFont="1" applyBorder="1" applyAlignment="1">
      <alignment horizontal="right"/>
    </xf>
    <xf numFmtId="4" fontId="26" fillId="0" borderId="12" xfId="0" applyNumberFormat="1" applyFont="1" applyBorder="1"/>
    <xf numFmtId="3" fontId="58" fillId="0" borderId="12" xfId="1" applyNumberFormat="1" applyFont="1" applyBorder="1" applyAlignment="1">
      <alignment horizontal="right"/>
    </xf>
    <xf numFmtId="3" fontId="57" fillId="0" borderId="12" xfId="1" applyNumberFormat="1" applyFont="1" applyFill="1" applyBorder="1" applyAlignment="1">
      <alignment horizontal="right"/>
    </xf>
    <xf numFmtId="4" fontId="58" fillId="0" borderId="12" xfId="0" applyNumberFormat="1" applyFont="1" applyBorder="1"/>
    <xf numFmtId="4" fontId="61" fillId="38" borderId="12" xfId="0" applyNumberFormat="1" applyFont="1" applyFill="1" applyBorder="1" applyAlignment="1">
      <alignment horizontal="right" vertical="center" wrapText="1"/>
    </xf>
    <xf numFmtId="4" fontId="58" fillId="0" borderId="12" xfId="0" applyNumberFormat="1" applyFont="1" applyBorder="1" applyAlignment="1">
      <alignment wrapText="1"/>
    </xf>
    <xf numFmtId="4" fontId="58" fillId="2" borderId="12" xfId="0" applyNumberFormat="1" applyFont="1" applyFill="1" applyBorder="1"/>
    <xf numFmtId="0" fontId="26" fillId="0" borderId="10" xfId="0" applyFont="1" applyBorder="1"/>
    <xf numFmtId="0" fontId="26" fillId="0" borderId="22" xfId="0" applyFont="1" applyBorder="1"/>
    <xf numFmtId="0" fontId="64" fillId="0" borderId="22" xfId="0" applyFont="1" applyBorder="1"/>
    <xf numFmtId="3" fontId="22" fillId="34" borderId="11" xfId="1" applyNumberFormat="1" applyFont="1" applyFill="1" applyBorder="1"/>
    <xf numFmtId="3" fontId="22" fillId="34" borderId="11" xfId="1" applyNumberFormat="1" applyFont="1" applyFill="1" applyBorder="1" applyAlignment="1">
      <alignment horizontal="center"/>
    </xf>
    <xf numFmtId="4" fontId="58" fillId="38" borderId="12" xfId="1" applyNumberFormat="1" applyFont="1" applyFill="1" applyBorder="1" applyAlignment="1">
      <alignment horizontal="right"/>
    </xf>
    <xf numFmtId="4" fontId="58" fillId="2" borderId="12" xfId="119" applyNumberFormat="1" applyFont="1" applyFill="1" applyBorder="1" applyAlignment="1">
      <alignment horizontal="right"/>
    </xf>
    <xf numFmtId="4" fontId="57" fillId="0" borderId="12" xfId="1" applyNumberFormat="1" applyFont="1" applyBorder="1" applyAlignment="1">
      <alignment horizontal="right"/>
    </xf>
    <xf numFmtId="4" fontId="58" fillId="38" borderId="12" xfId="119" applyNumberFormat="1" applyFont="1" applyFill="1" applyBorder="1" applyAlignment="1">
      <alignment horizontal="right"/>
    </xf>
    <xf numFmtId="4" fontId="57" fillId="2" borderId="12" xfId="0" applyNumberFormat="1" applyFont="1" applyFill="1" applyBorder="1" applyAlignment="1">
      <alignment horizontal="right"/>
    </xf>
    <xf numFmtId="4" fontId="58" fillId="0" borderId="12" xfId="1" applyNumberFormat="1" applyFont="1" applyBorder="1" applyAlignment="1">
      <alignment horizontal="right"/>
    </xf>
    <xf numFmtId="4" fontId="26" fillId="2" borderId="12" xfId="0" applyNumberFormat="1" applyFont="1" applyFill="1" applyBorder="1"/>
    <xf numFmtId="4" fontId="60" fillId="2" borderId="12" xfId="0" applyNumberFormat="1" applyFont="1" applyFill="1" applyBorder="1" applyAlignment="1">
      <alignment horizontal="right" vertical="center" wrapText="1"/>
    </xf>
    <xf numFmtId="4" fontId="59" fillId="2" borderId="12" xfId="0" applyNumberFormat="1" applyFont="1" applyFill="1" applyBorder="1" applyAlignment="1">
      <alignment vertical="center"/>
    </xf>
    <xf numFmtId="4" fontId="62" fillId="2" borderId="12" xfId="1" applyNumberFormat="1" applyFont="1" applyFill="1" applyBorder="1" applyAlignment="1">
      <alignment horizontal="right" vertical="center" wrapText="1"/>
    </xf>
    <xf numFmtId="4" fontId="57" fillId="2" borderId="12" xfId="0" applyNumberFormat="1" applyFont="1" applyFill="1" applyBorder="1"/>
    <xf numFmtId="4" fontId="58" fillId="2" borderId="12" xfId="0" applyNumberFormat="1" applyFont="1" applyFill="1" applyBorder="1" applyAlignment="1">
      <alignment horizontal="right"/>
    </xf>
    <xf numFmtId="4" fontId="58" fillId="2" borderId="12" xfId="0" applyNumberFormat="1" applyFont="1" applyFill="1" applyBorder="1" applyAlignment="1">
      <alignment horizontal="right" vertical="center"/>
    </xf>
    <xf numFmtId="4" fontId="58" fillId="2" borderId="12" xfId="1" applyNumberFormat="1" applyFont="1" applyFill="1" applyBorder="1" applyAlignment="1">
      <alignment horizontal="right"/>
    </xf>
    <xf numFmtId="4" fontId="63" fillId="2" borderId="12" xfId="1" applyNumberFormat="1" applyFont="1" applyFill="1" applyBorder="1" applyAlignment="1">
      <alignment horizontal="right" vertical="center" wrapText="1"/>
    </xf>
    <xf numFmtId="4" fontId="60" fillId="2" borderId="12" xfId="0" applyNumberFormat="1" applyFont="1" applyFill="1" applyBorder="1" applyAlignment="1">
      <alignment vertical="center"/>
    </xf>
    <xf numFmtId="4" fontId="35" fillId="2" borderId="12" xfId="119" applyNumberFormat="1" applyFont="1" applyFill="1" applyBorder="1" applyAlignment="1">
      <alignment horizontal="right"/>
    </xf>
    <xf numFmtId="4" fontId="35" fillId="2" borderId="12" xfId="0" applyNumberFormat="1" applyFont="1" applyFill="1" applyBorder="1" applyAlignment="1">
      <alignment horizontal="right"/>
    </xf>
    <xf numFmtId="4" fontId="35" fillId="2" borderId="12" xfId="1" applyNumberFormat="1" applyFont="1" applyFill="1" applyBorder="1" applyAlignment="1">
      <alignment horizontal="right"/>
    </xf>
    <xf numFmtId="4" fontId="48" fillId="2" borderId="12" xfId="0" applyNumberFormat="1" applyFont="1" applyFill="1" applyBorder="1"/>
    <xf numFmtId="4" fontId="52" fillId="2" borderId="12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0" fontId="23" fillId="2" borderId="14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</cellXfs>
  <cellStyles count="206"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20% - Theksi1" xfId="23" builtinId="30" customBuiltin="1"/>
    <cellStyle name="20% - Theksi2" xfId="27" builtinId="34" customBuiltin="1"/>
    <cellStyle name="20% - Theksi3" xfId="31" builtinId="38" customBuiltin="1"/>
    <cellStyle name="20% - Theksi4" xfId="35" builtinId="42" customBuiltin="1"/>
    <cellStyle name="20% - Theksi5" xfId="39" builtinId="46" customBuiltin="1"/>
    <cellStyle name="20% - Theksi6" xfId="43" builtinId="50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40% - Theksi1" xfId="24" builtinId="31" customBuiltin="1"/>
    <cellStyle name="40% - Theksi2" xfId="28" builtinId="35" customBuiltin="1"/>
    <cellStyle name="40% - Theksi3" xfId="32" builtinId="39" customBuiltin="1"/>
    <cellStyle name="40% - Theksi4" xfId="36" builtinId="43" customBuiltin="1"/>
    <cellStyle name="40% - Theksi5" xfId="40" builtinId="47" customBuiltin="1"/>
    <cellStyle name="40% - Theksi6" xfId="44" builtinId="51" customBuiltin="1"/>
    <cellStyle name="60% - Theksi1" xfId="25" builtinId="32" customBuiltin="1"/>
    <cellStyle name="60% - Theksi2" xfId="29" builtinId="36" customBuiltin="1"/>
    <cellStyle name="60% - Theksi3" xfId="33" builtinId="40" customBuiltin="1"/>
    <cellStyle name="60% - Theksi4" xfId="37" builtinId="44" customBuiltin="1"/>
    <cellStyle name="60% - Theksi5" xfId="41" builtinId="48" customBuiltin="1"/>
    <cellStyle name="60% - Theksi6" xfId="45" builtinId="52" customBuiltin="1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Dalje" xfId="15" builtinId="21" customBuiltin="1"/>
    <cellStyle name="Hyrje" xfId="14" builtinId="20" customBuiltin="1"/>
    <cellStyle name="I pavlerë" xfId="12" builtinId="27" customBuiltin="1"/>
    <cellStyle name="Kokëzimi 1" xfId="7" builtinId="16" customBuiltin="1"/>
    <cellStyle name="Kokëzimi 2" xfId="8" builtinId="17" customBuiltin="1"/>
    <cellStyle name="Kokëzimi 3" xfId="9" builtinId="18" customBuiltin="1"/>
    <cellStyle name="Kokëzimi 4" xfId="10" builtinId="19" customBuiltin="1"/>
    <cellStyle name="Llogaritje" xfId="16" builtinId="22" customBuiltin="1"/>
    <cellStyle name="Mirë" xfId="11" builtinId="26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Presje" xfId="1" builtinId="3"/>
    <cellStyle name="Qeliza e lidhur" xfId="17" builtinId="24" customBuiltin="1"/>
    <cellStyle name="Tekst shpjegues" xfId="20" builtinId="53" customBuiltin="1"/>
    <cellStyle name="Teksti i paralajmërimit" xfId="19" builtinId="11" customBuiltin="1"/>
    <cellStyle name="Theksi1" xfId="22" builtinId="29" customBuiltin="1"/>
    <cellStyle name="Theksi2" xfId="26" builtinId="33" customBuiltin="1"/>
    <cellStyle name="Theksi3" xfId="30" builtinId="37" customBuiltin="1"/>
    <cellStyle name="Theksi4" xfId="34" builtinId="41" customBuiltin="1"/>
    <cellStyle name="Theksi5" xfId="38" builtinId="45" customBuiltin="1"/>
    <cellStyle name="Theksi6" xfId="42" builtinId="49" customBuiltin="1"/>
    <cellStyle name="Titull" xfId="6" builtinId="15" customBuiltin="1"/>
    <cellStyle name="Totali" xfId="21" builtinId="25" customBuiltin="1"/>
    <cellStyle name="Zgjidh qelizën" xfId="18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257175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72"/>
  <sheetViews>
    <sheetView tabSelected="1" zoomScaleNormal="100" zoomScaleSheetLayoutView="80" workbookViewId="0">
      <pane xSplit="2" ySplit="5" topLeftCell="C44" activePane="bottomRight" state="frozen"/>
      <selection pane="topRight" activeCell="B1" sqref="B1"/>
      <selection pane="bottomLeft" activeCell="A6" sqref="A6"/>
      <selection pane="bottomRight" activeCell="C61" sqref="C61:C63"/>
    </sheetView>
  </sheetViews>
  <sheetFormatPr defaultColWidth="9.140625" defaultRowHeight="15" x14ac:dyDescent="0.25"/>
  <cols>
    <col min="1" max="1" width="5.42578125" style="58" customWidth="1"/>
    <col min="2" max="3" width="13.7109375" style="58" customWidth="1"/>
    <col min="4" max="4" width="14" style="58" customWidth="1"/>
    <col min="5" max="5" width="12.85546875" style="77" customWidth="1"/>
    <col min="6" max="6" width="13.28515625" style="58" customWidth="1"/>
    <col min="7" max="7" width="14.42578125" style="58" customWidth="1"/>
    <col min="8" max="8" width="12" style="58" customWidth="1"/>
    <col min="9" max="9" width="12.85546875" style="58" customWidth="1"/>
    <col min="10" max="10" width="12.7109375" style="58" customWidth="1"/>
    <col min="11" max="11" width="11.28515625" style="58" customWidth="1"/>
    <col min="12" max="12" width="12" style="58" customWidth="1"/>
    <col min="13" max="13" width="11.28515625" style="58" customWidth="1"/>
    <col min="14" max="14" width="10.140625" style="58" customWidth="1"/>
    <col min="15" max="15" width="9.140625" style="58" customWidth="1"/>
    <col min="16" max="16" width="13" style="58" customWidth="1"/>
    <col min="17" max="17" width="11" style="58" customWidth="1"/>
    <col min="18" max="18" width="12" style="58" customWidth="1"/>
    <col min="19" max="19" width="12.85546875" style="58" customWidth="1"/>
    <col min="20" max="20" width="13.42578125" style="58" customWidth="1"/>
    <col min="21" max="21" width="10.42578125" style="58" customWidth="1"/>
    <col min="22" max="22" width="11.7109375" style="58" customWidth="1"/>
    <col min="23" max="16384" width="9.140625" style="58"/>
  </cols>
  <sheetData>
    <row r="1" spans="1:22" ht="30.75" customHeight="1" x14ac:dyDescent="0.25">
      <c r="A1" s="55" t="str">
        <f>IF(L!$A$1=1,L!G2,IF(L!$A$1=2,L!G11,L!G21))</f>
        <v>Tabela 1: Pagesat</v>
      </c>
      <c r="B1" s="56"/>
      <c r="C1" s="57"/>
      <c r="D1" s="369" t="s">
        <v>609</v>
      </c>
      <c r="E1" s="59"/>
      <c r="F1" s="57"/>
      <c r="G1" s="57"/>
      <c r="H1" s="57"/>
      <c r="I1" s="57"/>
      <c r="J1" s="57"/>
      <c r="M1" s="78"/>
      <c r="N1"/>
      <c r="O1" s="78"/>
      <c r="P1" s="78"/>
      <c r="R1" s="78"/>
    </row>
    <row r="2" spans="1:22" ht="18.75" customHeight="1" x14ac:dyDescent="0.25">
      <c r="A2" s="80" t="s">
        <v>876</v>
      </c>
      <c r="B2" s="60"/>
      <c r="C2" s="60"/>
      <c r="D2" s="370"/>
      <c r="E2" s="61"/>
      <c r="F2" s="61"/>
      <c r="G2" s="61"/>
      <c r="H2" s="61"/>
      <c r="I2" s="61"/>
      <c r="J2" s="61"/>
      <c r="O2" s="78"/>
    </row>
    <row r="3" spans="1:22" ht="12.75" customHeight="1" x14ac:dyDescent="0.25">
      <c r="A3" s="371"/>
      <c r="B3" s="371"/>
      <c r="C3" s="62"/>
      <c r="D3" s="64"/>
      <c r="E3" s="63"/>
      <c r="F3" s="65"/>
      <c r="G3" s="65"/>
      <c r="H3" s="65"/>
      <c r="I3" s="65"/>
      <c r="J3" s="66"/>
      <c r="K3" s="63"/>
      <c r="L3" s="65"/>
      <c r="M3" s="65"/>
      <c r="N3" s="65"/>
      <c r="O3" s="65"/>
      <c r="P3" s="66"/>
      <c r="Q3" s="63"/>
      <c r="R3" s="65"/>
      <c r="S3" s="65"/>
      <c r="T3" s="65"/>
      <c r="U3" s="65"/>
      <c r="V3" s="66"/>
    </row>
    <row r="4" spans="1:22" ht="12.75" customHeight="1" x14ac:dyDescent="0.25">
      <c r="A4" s="371"/>
      <c r="B4" s="371"/>
      <c r="C4" s="62"/>
      <c r="D4" s="64"/>
      <c r="E4" s="67"/>
      <c r="F4" s="69"/>
      <c r="G4" s="68"/>
      <c r="H4" s="68"/>
      <c r="I4" s="68"/>
      <c r="J4" s="68"/>
      <c r="K4" s="361" t="s">
        <v>868</v>
      </c>
      <c r="L4" s="69"/>
      <c r="M4" s="68"/>
      <c r="N4" s="68"/>
      <c r="O4" s="68"/>
      <c r="P4" s="68"/>
      <c r="Q4" s="359" t="s">
        <v>869</v>
      </c>
      <c r="R4" s="69"/>
      <c r="S4" s="68"/>
      <c r="T4" s="68"/>
      <c r="U4" s="68"/>
      <c r="V4" s="68"/>
    </row>
    <row r="5" spans="1:22" s="71" customFormat="1" ht="57" customHeight="1" x14ac:dyDescent="0.25">
      <c r="A5" s="372"/>
      <c r="B5" s="372"/>
      <c r="C5" s="70" t="str">
        <f>IF(L!$A$1=1,L!I4,IF(L!$A$1=2,L!I13,L!I23))</f>
        <v>Gjithsejt Pagesat</v>
      </c>
      <c r="D5" s="89" t="str">
        <f>IF(L!$A$1=1,L!J4,IF(L!$A$1=2,L!J13,L!J23))</f>
        <v>Shpenzimet</v>
      </c>
      <c r="E5" s="89" t="str">
        <f>IF(L!$A$1=1,L!S4,IF(L!$A$1=2,L!S13,L!S23))</f>
        <v>Qeveria Lokale</v>
      </c>
      <c r="F5" s="70" t="str">
        <f>IF(L!$A$1=1,L!T4,IF(L!$A$1=2,L!T13,L!T23))</f>
        <v>Paga</v>
      </c>
      <c r="G5" s="70" t="str">
        <f>IF(L!$A$1=1,L!U4,IF(L!$A$1=2,L!U13,L!U23))</f>
        <v>Mallra dhe shërbime</v>
      </c>
      <c r="H5" s="70" t="str">
        <f>IF(L!$A$1=1,L!V4,IF(L!$A$1=2,L!V13,L!V23))</f>
        <v>Shpenzime komunale</v>
      </c>
      <c r="I5" s="70" t="str">
        <f>IF(L!$A$1=1,L!W4,IF(L!$A$1=2,L!W13,L!W23))</f>
        <v>Subvencione dhe Transfere</v>
      </c>
      <c r="J5" s="70" t="str">
        <f>IF(L!$A$1=1,L!X4,IF(L!$A$1=2,L!X13,L!X23))</f>
        <v>Shpenzime Kapitale</v>
      </c>
      <c r="K5" s="362"/>
      <c r="L5" s="70" t="s">
        <v>0</v>
      </c>
      <c r="M5" s="70" t="s">
        <v>32</v>
      </c>
      <c r="N5" s="70" t="s">
        <v>33</v>
      </c>
      <c r="O5" s="90" t="s">
        <v>21</v>
      </c>
      <c r="P5" s="70" t="s">
        <v>35</v>
      </c>
      <c r="Q5" s="360"/>
      <c r="R5" s="70" t="s">
        <v>0</v>
      </c>
      <c r="S5" s="70" t="s">
        <v>32</v>
      </c>
      <c r="T5" s="70" t="s">
        <v>33</v>
      </c>
      <c r="U5" s="90" t="s">
        <v>21</v>
      </c>
      <c r="V5" s="70" t="s">
        <v>35</v>
      </c>
    </row>
    <row r="6" spans="1:22" x14ac:dyDescent="0.25">
      <c r="A6" s="366">
        <v>2022</v>
      </c>
      <c r="B6" s="72" t="str">
        <f>IF(L!$A$1=1,L!B218,IF(L!$A$1=2,L!C218,L!D218))</f>
        <v>2022 Janar</v>
      </c>
      <c r="C6" s="198">
        <f t="shared" ref="C6:C31" si="0">E6+K6+Q6</f>
        <v>1140910.2</v>
      </c>
      <c r="D6" s="198">
        <f t="shared" ref="D6:D17" si="1">+E6+K6+Q6</f>
        <v>1140910.2</v>
      </c>
      <c r="E6" s="199">
        <f t="shared" ref="E6:E17" si="2">+F6+G6+H6+I6+J6</f>
        <v>151300.4</v>
      </c>
      <c r="F6" s="200">
        <f>158864.4-7564</f>
        <v>151300.4</v>
      </c>
      <c r="G6" s="201"/>
      <c r="H6" s="201"/>
      <c r="I6" s="201"/>
      <c r="J6" s="202"/>
      <c r="K6" s="94">
        <f t="shared" ref="K6" si="3">SUM(L6:P6)</f>
        <v>755903.54</v>
      </c>
      <c r="L6" s="94">
        <v>755903.54</v>
      </c>
      <c r="M6" s="198"/>
      <c r="N6" s="202"/>
      <c r="O6" s="198"/>
      <c r="P6" s="198"/>
      <c r="Q6" s="198">
        <f t="shared" ref="Q6:Q11" si="4">SUM(R6:V6)</f>
        <v>233706.25999999998</v>
      </c>
      <c r="R6" s="94">
        <v>233706.25999999998</v>
      </c>
      <c r="S6" s="198"/>
      <c r="T6" s="202"/>
      <c r="U6" s="198"/>
      <c r="V6" s="198"/>
    </row>
    <row r="7" spans="1:22" x14ac:dyDescent="0.25">
      <c r="A7" s="367"/>
      <c r="B7" s="72" t="str">
        <f>IF(L!$A$1=1,L!B219,IF(L!$A$1=2,L!C219,L!D219))</f>
        <v>2022 Shkurt</v>
      </c>
      <c r="C7" s="86">
        <f t="shared" si="0"/>
        <v>1793439.4000000001</v>
      </c>
      <c r="D7" s="86">
        <f t="shared" si="1"/>
        <v>1793439.4000000001</v>
      </c>
      <c r="E7" s="203">
        <f t="shared" si="2"/>
        <v>497732.08000000013</v>
      </c>
      <c r="F7" s="204">
        <v>152781.87000000011</v>
      </c>
      <c r="G7" s="136">
        <v>192701.2</v>
      </c>
      <c r="H7" s="205">
        <v>96041.510000000009</v>
      </c>
      <c r="I7" s="136"/>
      <c r="J7" s="163">
        <v>56207.5</v>
      </c>
      <c r="K7" s="86">
        <f t="shared" ref="K7" si="5">SUM(L7:P7)</f>
        <v>958076.13000000012</v>
      </c>
      <c r="L7" s="93">
        <v>781976.54</v>
      </c>
      <c r="M7" s="92">
        <v>156092.79999999999</v>
      </c>
      <c r="N7" s="205">
        <v>20006.79</v>
      </c>
      <c r="O7" s="92"/>
      <c r="P7" s="86"/>
      <c r="Q7" s="86">
        <f t="shared" si="4"/>
        <v>337631.19</v>
      </c>
      <c r="R7" s="86">
        <f>209871.25+46662.62</f>
        <v>256533.87</v>
      </c>
      <c r="S7" s="92">
        <v>56120.67</v>
      </c>
      <c r="T7" s="204">
        <v>24976.65</v>
      </c>
      <c r="U7" s="92"/>
      <c r="V7" s="86"/>
    </row>
    <row r="8" spans="1:22" x14ac:dyDescent="0.25">
      <c r="A8" s="367"/>
      <c r="B8" s="72" t="str">
        <f>IF(L!$A$1=1,L!B220,IF(L!$A$1=2,L!C220,L!D220))</f>
        <v xml:space="preserve">2022 Mars </v>
      </c>
      <c r="C8" s="86">
        <f t="shared" si="0"/>
        <v>2351432.0099999998</v>
      </c>
      <c r="D8" s="86">
        <f t="shared" si="1"/>
        <v>2351432.0099999998</v>
      </c>
      <c r="E8" s="203">
        <f t="shared" si="2"/>
        <v>948598.41999999993</v>
      </c>
      <c r="F8" s="105">
        <v>151863</v>
      </c>
      <c r="G8" s="205">
        <v>267427.14</v>
      </c>
      <c r="H8" s="204">
        <v>48092.480000000003</v>
      </c>
      <c r="I8" s="136">
        <v>57639.199999999997</v>
      </c>
      <c r="J8" s="204">
        <v>423576.6</v>
      </c>
      <c r="K8" s="86">
        <f>SUM(L8:P8)</f>
        <v>1064650.02</v>
      </c>
      <c r="L8" s="204">
        <f>878998.95+451</f>
        <v>879449.95</v>
      </c>
      <c r="M8" s="206">
        <v>165210.89000000001</v>
      </c>
      <c r="N8" s="206">
        <v>19989.18</v>
      </c>
      <c r="O8" s="92"/>
      <c r="P8" s="87"/>
      <c r="Q8" s="86">
        <f t="shared" si="4"/>
        <v>338183.57</v>
      </c>
      <c r="R8" s="86">
        <v>240058.55</v>
      </c>
      <c r="S8" s="205">
        <v>87549.19</v>
      </c>
      <c r="T8" s="92">
        <v>10575.83</v>
      </c>
      <c r="U8" s="92"/>
      <c r="V8" s="86"/>
    </row>
    <row r="9" spans="1:22" x14ac:dyDescent="0.25">
      <c r="A9" s="367"/>
      <c r="B9" s="72" t="str">
        <f>IF(L!$A$1=1,L!B221,IF(L!$A$1=2,L!C221,L!D221))</f>
        <v>2022 Prill</v>
      </c>
      <c r="C9" s="86">
        <f t="shared" si="0"/>
        <v>2187476.3400000003</v>
      </c>
      <c r="D9" s="86">
        <f t="shared" si="1"/>
        <v>2187476.3400000003</v>
      </c>
      <c r="E9" s="203">
        <f t="shared" si="2"/>
        <v>856558.56</v>
      </c>
      <c r="F9" s="204">
        <f>151863.37</f>
        <v>151863.37</v>
      </c>
      <c r="G9" s="135">
        <f>174901-4156</f>
        <v>170745</v>
      </c>
      <c r="H9" s="135">
        <v>50154.64</v>
      </c>
      <c r="I9" s="135">
        <v>47214.92</v>
      </c>
      <c r="J9" s="163">
        <v>436580.63</v>
      </c>
      <c r="K9" s="86">
        <f t="shared" ref="K9:K17" si="6">SUM(L9:P9)</f>
        <v>991210.12000000011</v>
      </c>
      <c r="L9" s="85">
        <v>756819.79</v>
      </c>
      <c r="M9" s="93">
        <v>110070.41</v>
      </c>
      <c r="N9" s="207">
        <v>19995.919999999998</v>
      </c>
      <c r="O9" s="207"/>
      <c r="P9" s="207">
        <v>104324</v>
      </c>
      <c r="Q9" s="86">
        <f t="shared" si="4"/>
        <v>339707.66000000003</v>
      </c>
      <c r="R9" s="207">
        <f>234396.95+3952</f>
        <v>238348.95</v>
      </c>
      <c r="S9" s="86">
        <v>89313.32</v>
      </c>
      <c r="T9" s="205">
        <v>12045.39</v>
      </c>
      <c r="U9" s="86"/>
      <c r="V9" s="86"/>
    </row>
    <row r="10" spans="1:22" x14ac:dyDescent="0.25">
      <c r="A10" s="367"/>
      <c r="B10" s="72" t="str">
        <f>IF(L!$A$1=1,L!B222,IF(L!$A$1=2,L!C222,L!D222))</f>
        <v>2022 Maj</v>
      </c>
      <c r="C10" s="86">
        <f t="shared" si="0"/>
        <v>2138700.69</v>
      </c>
      <c r="D10" s="86">
        <f t="shared" si="1"/>
        <v>2138700.69</v>
      </c>
      <c r="E10" s="203">
        <f t="shared" si="2"/>
        <v>731133.72</v>
      </c>
      <c r="F10" s="108">
        <v>154706.46</v>
      </c>
      <c r="G10" s="115">
        <v>113768.80999999998</v>
      </c>
      <c r="H10" s="115">
        <v>34765.270000000004</v>
      </c>
      <c r="I10" s="135">
        <v>104933</v>
      </c>
      <c r="J10">
        <v>322960.18</v>
      </c>
      <c r="K10" s="86">
        <f t="shared" si="6"/>
        <v>1094981.7</v>
      </c>
      <c r="L10" s="86">
        <v>928393.74</v>
      </c>
      <c r="M10" s="86">
        <v>104957.43000000001</v>
      </c>
      <c r="N10" s="113">
        <v>19998.53</v>
      </c>
      <c r="O10" s="86"/>
      <c r="P10" s="86">
        <v>41632</v>
      </c>
      <c r="Q10" s="86">
        <f t="shared" si="4"/>
        <v>312585.26999999996</v>
      </c>
      <c r="R10" s="86">
        <v>245070.75</v>
      </c>
      <c r="S10" s="205">
        <v>59150.23</v>
      </c>
      <c r="T10" s="86">
        <v>8364.2899999999991</v>
      </c>
      <c r="U10" s="86"/>
      <c r="V10" s="205"/>
    </row>
    <row r="11" spans="1:22" x14ac:dyDescent="0.25">
      <c r="A11" s="367"/>
      <c r="B11" s="72" t="str">
        <f>IF(L!$A$1=1,L!B223,IF(L!$A$1=2,L!C223,L!D223))</f>
        <v>2022 Qershor</v>
      </c>
      <c r="C11" s="86">
        <f t="shared" si="0"/>
        <v>1983375.9899999998</v>
      </c>
      <c r="D11" s="86">
        <f t="shared" si="1"/>
        <v>1983375.9899999998</v>
      </c>
      <c r="E11" s="203">
        <f t="shared" si="2"/>
        <v>771500.37999999989</v>
      </c>
      <c r="F11" s="108">
        <v>156420.35</v>
      </c>
      <c r="G11" s="115">
        <v>149551.69999999998</v>
      </c>
      <c r="H11" s="115">
        <v>47563.000000000007</v>
      </c>
      <c r="I11" s="155">
        <v>80500</v>
      </c>
      <c r="J11" s="205">
        <v>337465.32999999996</v>
      </c>
      <c r="K11" s="86">
        <f t="shared" si="6"/>
        <v>882654.91999999993</v>
      </c>
      <c r="L11" s="86">
        <v>761509.72</v>
      </c>
      <c r="M11" s="86">
        <v>70286.94</v>
      </c>
      <c r="N11" s="86">
        <v>14984.26</v>
      </c>
      <c r="O11" s="86"/>
      <c r="P11" s="86">
        <v>35874</v>
      </c>
      <c r="Q11" s="86">
        <f t="shared" si="4"/>
        <v>329220.68999999994</v>
      </c>
      <c r="R11" s="86">
        <v>233366.21</v>
      </c>
      <c r="S11" s="86">
        <v>75169.119999999995</v>
      </c>
      <c r="T11" s="86">
        <v>8585.36</v>
      </c>
      <c r="U11" s="205">
        <v>12100</v>
      </c>
      <c r="V11" s="86"/>
    </row>
    <row r="12" spans="1:22" x14ac:dyDescent="0.25">
      <c r="A12" s="367"/>
      <c r="B12" s="72" t="str">
        <f>IF(L!$A$1=1,L!B224,IF(L!$A$1=2,L!C224,L!D224))</f>
        <v>2022 Korrik</v>
      </c>
      <c r="C12" s="86">
        <f t="shared" si="0"/>
        <v>2334248.5</v>
      </c>
      <c r="D12" s="86">
        <f t="shared" si="1"/>
        <v>2334248.5</v>
      </c>
      <c r="E12" s="210">
        <f t="shared" si="2"/>
        <v>1185584.02</v>
      </c>
      <c r="F12" s="113">
        <v>152541.15</v>
      </c>
      <c r="G12" s="115">
        <v>222066.14999999997</v>
      </c>
      <c r="H12" s="115">
        <v>31048.269999999997</v>
      </c>
      <c r="I12" s="229">
        <v>114490</v>
      </c>
      <c r="J12" s="209">
        <v>665438.44999999995</v>
      </c>
      <c r="K12" s="86">
        <f t="shared" si="6"/>
        <v>845253.43000000017</v>
      </c>
      <c r="L12" s="86">
        <f>771581.8+1227.56</f>
        <v>772809.3600000001</v>
      </c>
      <c r="M12" s="86">
        <v>62444.549999999988</v>
      </c>
      <c r="N12" s="86">
        <v>9999.52</v>
      </c>
      <c r="O12" s="86"/>
      <c r="P12" s="93"/>
      <c r="Q12" s="86">
        <f>SUM(R12:V12)</f>
        <v>303411.05000000005</v>
      </c>
      <c r="R12" s="86">
        <v>226551.87</v>
      </c>
      <c r="S12" s="113">
        <v>70523.53</v>
      </c>
      <c r="T12" s="86">
        <v>6235.65</v>
      </c>
      <c r="U12" s="86">
        <v>100</v>
      </c>
      <c r="V12" s="93"/>
    </row>
    <row r="13" spans="1:22" x14ac:dyDescent="0.25">
      <c r="A13" s="367"/>
      <c r="B13" s="72" t="str">
        <f>IF(L!$A$1=1,L!B225,IF(L!$A$1=2,L!C225,L!D225))</f>
        <v>2022 Gusht</v>
      </c>
      <c r="C13" s="86">
        <f t="shared" si="0"/>
        <v>1164948.02</v>
      </c>
      <c r="D13" s="86">
        <f t="shared" si="1"/>
        <v>1164948.02</v>
      </c>
      <c r="E13" s="210">
        <f t="shared" si="2"/>
        <v>1046676.48</v>
      </c>
      <c r="F13" s="113"/>
      <c r="G13" s="86">
        <v>146285.08000000002</v>
      </c>
      <c r="H13" s="86">
        <f>39457.32-7500</f>
        <v>31957.32</v>
      </c>
      <c r="I13" s="93">
        <f>20589.2+7500</f>
        <v>28089.200000000001</v>
      </c>
      <c r="J13" s="164">
        <v>840344.88</v>
      </c>
      <c r="K13" s="86">
        <f t="shared" si="6"/>
        <v>61539.75</v>
      </c>
      <c r="L13" s="87"/>
      <c r="M13" s="205">
        <v>51554</v>
      </c>
      <c r="N13" s="87">
        <v>9985.75</v>
      </c>
      <c r="O13" s="87"/>
      <c r="P13" s="205"/>
      <c r="Q13" s="86">
        <f>SUM(R13:V13)</f>
        <v>56731.79</v>
      </c>
      <c r="R13" s="86"/>
      <c r="S13" s="205">
        <v>37998.870000000003</v>
      </c>
      <c r="T13" s="86">
        <v>2752.92</v>
      </c>
      <c r="U13" s="86"/>
      <c r="V13" s="86">
        <v>15980</v>
      </c>
    </row>
    <row r="14" spans="1:22" x14ac:dyDescent="0.25">
      <c r="A14" s="367"/>
      <c r="B14" s="72" t="str">
        <f>IF(L!$A$1=1,L!B226,IF(L!$A$1=2,L!C226,L!D226))</f>
        <v>2022 Shtator</v>
      </c>
      <c r="C14" s="86">
        <f t="shared" si="0"/>
        <v>2896596.21</v>
      </c>
      <c r="D14" s="86">
        <f t="shared" si="1"/>
        <v>2896596.21</v>
      </c>
      <c r="E14" s="210">
        <f t="shared" si="2"/>
        <v>1290157.5699999998</v>
      </c>
      <c r="F14" s="86">
        <v>295133.65000000002</v>
      </c>
      <c r="G14" s="86">
        <v>122187.99000000002</v>
      </c>
      <c r="H14" s="113">
        <v>33332.350000000006</v>
      </c>
      <c r="I14" s="93">
        <f>77782-200</f>
        <v>77582</v>
      </c>
      <c r="J14" s="86">
        <v>761921.58</v>
      </c>
      <c r="K14" s="86">
        <f t="shared" si="6"/>
        <v>1061258.5699999998</v>
      </c>
      <c r="L14" s="86">
        <v>953871.82</v>
      </c>
      <c r="M14" s="86">
        <v>72848.33</v>
      </c>
      <c r="N14" s="113">
        <v>14992.92</v>
      </c>
      <c r="O14" s="86"/>
      <c r="P14" s="86">
        <v>19545.5</v>
      </c>
      <c r="Q14" s="86">
        <f t="shared" ref="Q14:Q17" si="7">SUM(R14:V14)</f>
        <v>545180.07000000007</v>
      </c>
      <c r="R14" s="86">
        <v>469239.88</v>
      </c>
      <c r="S14" s="86">
        <v>40900.879999999997</v>
      </c>
      <c r="T14" s="113">
        <v>7539.31</v>
      </c>
      <c r="U14" s="86">
        <v>12600</v>
      </c>
      <c r="V14" s="86">
        <v>14900</v>
      </c>
    </row>
    <row r="15" spans="1:22" x14ac:dyDescent="0.25">
      <c r="A15" s="367"/>
      <c r="B15" s="72" t="str">
        <f>IF(L!$A$1=1,L!B227,IF(L!$A$1=2,L!C227,L!D227))</f>
        <v>2022 Tetor</v>
      </c>
      <c r="C15" s="73">
        <f t="shared" si="0"/>
        <v>3636716.1300000004</v>
      </c>
      <c r="D15" s="73">
        <f t="shared" si="1"/>
        <v>3636716.1300000004</v>
      </c>
      <c r="E15" s="210">
        <f t="shared" si="2"/>
        <v>1557895.43</v>
      </c>
      <c r="F15" s="113">
        <v>159821.77000000002</v>
      </c>
      <c r="G15" s="113">
        <v>216117.65</v>
      </c>
      <c r="H15" s="113">
        <f>40924.88-9900</f>
        <v>31024.879999999997</v>
      </c>
      <c r="I15" s="204">
        <f>14800+9900</f>
        <v>24700</v>
      </c>
      <c r="J15" s="113">
        <v>1126231.1299999999</v>
      </c>
      <c r="K15" s="73">
        <f t="shared" si="6"/>
        <v>1765359.52</v>
      </c>
      <c r="L15" s="204">
        <v>1571896.36</v>
      </c>
      <c r="M15" s="211">
        <v>112695.46</v>
      </c>
      <c r="N15" s="208">
        <v>10166.700000000001</v>
      </c>
      <c r="O15" s="211"/>
      <c r="P15" s="211">
        <v>70601</v>
      </c>
      <c r="Q15" s="86">
        <f t="shared" si="7"/>
        <v>313461.18</v>
      </c>
      <c r="R15" s="86">
        <v>230721.87999999998</v>
      </c>
      <c r="S15" s="113">
        <v>76863.649999999994</v>
      </c>
      <c r="T15" s="86">
        <v>5875.65</v>
      </c>
      <c r="U15" s="86"/>
      <c r="V15" s="86"/>
    </row>
    <row r="16" spans="1:22" x14ac:dyDescent="0.25">
      <c r="A16" s="367"/>
      <c r="B16" s="72" t="str">
        <f>IF(L!$A$1=1,L!B228,IF(L!$A$1=2,L!C228,L!D228))</f>
        <v xml:space="preserve">2022 Nëntor </v>
      </c>
      <c r="C16" s="73">
        <f t="shared" si="0"/>
        <v>2956441.98</v>
      </c>
      <c r="D16" s="73">
        <f t="shared" si="1"/>
        <v>2956441.98</v>
      </c>
      <c r="E16" s="210">
        <f t="shared" si="2"/>
        <v>1227918.0799999998</v>
      </c>
      <c r="F16" s="212">
        <v>156975.20000000001</v>
      </c>
      <c r="G16" s="72">
        <v>276928.11</v>
      </c>
      <c r="H16" s="204">
        <v>35201.249999999993</v>
      </c>
      <c r="I16" s="84">
        <v>10445</v>
      </c>
      <c r="J16" s="113">
        <v>748368.51999999979</v>
      </c>
      <c r="K16" s="73">
        <f t="shared" si="6"/>
        <v>1215289.8400000001</v>
      </c>
      <c r="L16" s="158">
        <v>903920.09</v>
      </c>
      <c r="M16" s="113">
        <v>141872.82</v>
      </c>
      <c r="N16" s="204">
        <v>11443.61</v>
      </c>
      <c r="O16" s="73"/>
      <c r="P16" s="213">
        <v>158053.32</v>
      </c>
      <c r="Q16" s="73">
        <f t="shared" si="7"/>
        <v>513234.06</v>
      </c>
      <c r="R16" s="204">
        <v>242201.53999999998</v>
      </c>
      <c r="S16" s="73">
        <v>62758.51</v>
      </c>
      <c r="T16" s="204">
        <f>9873.94+1059.76</f>
        <v>10933.7</v>
      </c>
      <c r="U16" s="73"/>
      <c r="V16" s="214">
        <v>197340.31</v>
      </c>
    </row>
    <row r="17" spans="1:22" x14ac:dyDescent="0.25">
      <c r="A17" s="367"/>
      <c r="B17" s="72" t="str">
        <f>IF(L!$A$1=1,L!B229,IF(L!$A$1=2,L!C229,L!D229))</f>
        <v>2022 Dhjetor</v>
      </c>
      <c r="C17" s="73">
        <f t="shared" si="0"/>
        <v>4179290.3700000006</v>
      </c>
      <c r="D17" s="73">
        <f t="shared" si="1"/>
        <v>4179290.3700000006</v>
      </c>
      <c r="E17" s="210">
        <f t="shared" si="2"/>
        <v>2585511.1700000004</v>
      </c>
      <c r="F17" s="88">
        <v>152754.51</v>
      </c>
      <c r="G17">
        <f>231719.71-4380</f>
        <v>227339.71</v>
      </c>
      <c r="H17" s="86">
        <v>43748.97</v>
      </c>
      <c r="I17" s="204"/>
      <c r="J17" s="73">
        <v>2161667.9800000004</v>
      </c>
      <c r="K17" s="73">
        <f t="shared" si="6"/>
        <v>1223477.33</v>
      </c>
      <c r="L17" s="91">
        <v>756870.89</v>
      </c>
      <c r="M17" s="73">
        <v>172931.12</v>
      </c>
      <c r="N17" s="86">
        <v>8457.81</v>
      </c>
      <c r="O17" s="73"/>
      <c r="P17" s="73">
        <v>285217.51</v>
      </c>
      <c r="Q17" s="73">
        <f t="shared" si="7"/>
        <v>370301.87000000005</v>
      </c>
      <c r="R17" s="73">
        <v>224893.46000000002</v>
      </c>
      <c r="S17" s="73">
        <v>59410.600000000006</v>
      </c>
      <c r="T17" s="73">
        <v>12157.810000000001</v>
      </c>
      <c r="U17" s="73"/>
      <c r="V17" s="73">
        <v>73840</v>
      </c>
    </row>
    <row r="18" spans="1:22" x14ac:dyDescent="0.25">
      <c r="A18" s="368"/>
      <c r="B18" s="74" t="str">
        <f>IF(L!$A$1=1,L!B230,IF(L!$A$1=2,L!C230,L!D230))</f>
        <v>Gjithsej 2022</v>
      </c>
      <c r="C18" s="196">
        <f t="shared" si="0"/>
        <v>28763575.84</v>
      </c>
      <c r="D18" s="197">
        <f>SUM(D6:D17)</f>
        <v>28763575.84</v>
      </c>
      <c r="E18" s="197">
        <f t="shared" ref="E18" si="8">SUM(E6:E17)</f>
        <v>12850566.310000001</v>
      </c>
      <c r="F18" s="197">
        <f>SUM(F6:F17)</f>
        <v>1836161.73</v>
      </c>
      <c r="G18" s="197">
        <f t="shared" ref="G18:V18" si="9">SUM(G6:G17)</f>
        <v>2105118.54</v>
      </c>
      <c r="H18" s="197">
        <f t="shared" si="9"/>
        <v>482929.94000000006</v>
      </c>
      <c r="I18" s="197">
        <f t="shared" si="9"/>
        <v>545593.32000000007</v>
      </c>
      <c r="J18" s="197">
        <f t="shared" si="9"/>
        <v>7880762.7799999993</v>
      </c>
      <c r="K18" s="197">
        <f t="shared" si="9"/>
        <v>11919654.870000001</v>
      </c>
      <c r="L18" s="222">
        <f t="shared" si="9"/>
        <v>9823421.8000000026</v>
      </c>
      <c r="M18" s="197">
        <f t="shared" si="9"/>
        <v>1220964.75</v>
      </c>
      <c r="N18" s="197">
        <f t="shared" si="9"/>
        <v>160020.99</v>
      </c>
      <c r="O18" s="197">
        <f t="shared" si="9"/>
        <v>0</v>
      </c>
      <c r="P18" s="197">
        <f t="shared" si="9"/>
        <v>715247.33000000007</v>
      </c>
      <c r="Q18" s="197">
        <f t="shared" si="9"/>
        <v>3993354.6600000011</v>
      </c>
      <c r="R18" s="197">
        <f t="shared" si="9"/>
        <v>2840693.2199999997</v>
      </c>
      <c r="S18" s="197">
        <f t="shared" si="9"/>
        <v>715758.57</v>
      </c>
      <c r="T18" s="197">
        <f t="shared" si="9"/>
        <v>110042.55999999998</v>
      </c>
      <c r="U18" s="197">
        <f t="shared" si="9"/>
        <v>24800</v>
      </c>
      <c r="V18" s="197">
        <f t="shared" si="9"/>
        <v>302060.31</v>
      </c>
    </row>
    <row r="19" spans="1:22" x14ac:dyDescent="0.25">
      <c r="A19" s="363">
        <v>2023</v>
      </c>
      <c r="B19" s="72" t="str">
        <f>IF(L!$A$1=1,L!B231,IF(L!$A$1=2,L!C231,L!D231))</f>
        <v>2023 Janar</v>
      </c>
      <c r="C19" s="86">
        <f t="shared" si="0"/>
        <v>1258876.3699999999</v>
      </c>
      <c r="D19" s="86">
        <f t="shared" ref="D19:D30" si="10">+E19+K19+Q19</f>
        <v>1258876.3699999999</v>
      </c>
      <c r="E19" s="104">
        <f t="shared" ref="E19:E30" si="11">+F19+G19+H19+I19+J19</f>
        <v>206144.25</v>
      </c>
      <c r="F19" s="105">
        <v>155205.17000000001</v>
      </c>
      <c r="G19" s="113">
        <v>50939.08</v>
      </c>
      <c r="H19" s="135"/>
      <c r="I19" s="105"/>
      <c r="K19" s="93">
        <f t="shared" ref="K19" si="12">SUM(L19:P19)</f>
        <v>809051.09</v>
      </c>
      <c r="L19" s="94">
        <v>758997.96</v>
      </c>
      <c r="M19" s="138">
        <v>50053.13</v>
      </c>
      <c r="N19" s="142"/>
      <c r="O19" s="143"/>
      <c r="P19" s="143"/>
      <c r="Q19" s="144">
        <f t="shared" ref="Q19:Q24" si="13">SUM(R19:V19)</f>
        <v>243681.03</v>
      </c>
      <c r="R19" s="93">
        <v>225631.27</v>
      </c>
      <c r="S19" s="86">
        <v>18049.759999999998</v>
      </c>
      <c r="T19" s="91"/>
      <c r="U19" s="86"/>
      <c r="V19" s="86"/>
    </row>
    <row r="20" spans="1:22" x14ac:dyDescent="0.25">
      <c r="A20" s="363"/>
      <c r="B20" s="72" t="str">
        <f>IF(L!$A$1=1,L!B232,IF(L!$A$1=2,L!C232,L!D232))</f>
        <v>2023 Shkurt</v>
      </c>
      <c r="C20" s="73">
        <f t="shared" si="0"/>
        <v>2211413.23</v>
      </c>
      <c r="D20" s="86">
        <f t="shared" si="10"/>
        <v>2211413.23</v>
      </c>
      <c r="E20" s="104">
        <f t="shared" si="11"/>
        <v>545392.38</v>
      </c>
      <c r="F20" s="113">
        <v>210390</v>
      </c>
      <c r="G20" s="107">
        <v>189061.04</v>
      </c>
      <c r="H20" s="113">
        <v>100058.59</v>
      </c>
      <c r="I20" s="107">
        <v>11500</v>
      </c>
      <c r="J20" s="113">
        <v>34382.75</v>
      </c>
      <c r="K20" s="73">
        <f t="shared" ref="K20" si="14">SUM(L20:P20)</f>
        <v>1319166.6000000001</v>
      </c>
      <c r="L20" s="93">
        <v>1144159.77</v>
      </c>
      <c r="M20" s="139">
        <v>148955.53</v>
      </c>
      <c r="N20" s="145">
        <v>26051.3</v>
      </c>
      <c r="O20" s="146"/>
      <c r="P20" s="143"/>
      <c r="Q20" s="147">
        <f t="shared" si="13"/>
        <v>346854.25</v>
      </c>
      <c r="R20" s="86">
        <v>265266.90999999997</v>
      </c>
      <c r="S20" s="92">
        <v>61441.57</v>
      </c>
      <c r="T20" s="113">
        <v>20145.77</v>
      </c>
      <c r="U20" s="92"/>
      <c r="V20" s="86"/>
    </row>
    <row r="21" spans="1:22" x14ac:dyDescent="0.25">
      <c r="A21" s="363"/>
      <c r="B21" s="72" t="str">
        <f>IF(L!$A$1=1,L!B233,IF(L!$A$1=2,L!C233,L!D233))</f>
        <v xml:space="preserve">2023 Mars </v>
      </c>
      <c r="C21" s="73">
        <f t="shared" si="0"/>
        <v>2365501.2400000002</v>
      </c>
      <c r="D21" s="73">
        <f t="shared" si="10"/>
        <v>2365501.2400000002</v>
      </c>
      <c r="E21" s="104">
        <f t="shared" si="11"/>
        <v>680342.57000000007</v>
      </c>
      <c r="F21" s="105">
        <v>201201.48</v>
      </c>
      <c r="G21" s="113">
        <f>306253.46</f>
        <v>306253.46000000002</v>
      </c>
      <c r="H21" s="113">
        <v>47696.329999999994</v>
      </c>
      <c r="I21" s="107">
        <v>29200</v>
      </c>
      <c r="J21" s="106">
        <v>95991.3</v>
      </c>
      <c r="K21" s="73">
        <f>SUM(L21:P21)</f>
        <v>1332748.9200000002</v>
      </c>
      <c r="L21" s="93">
        <v>1137569.82</v>
      </c>
      <c r="M21" s="140">
        <f>124317.82-120</f>
        <v>124197.82</v>
      </c>
      <c r="N21" s="148">
        <v>24977.279999999999</v>
      </c>
      <c r="O21" s="146"/>
      <c r="P21" s="149">
        <v>46004</v>
      </c>
      <c r="Q21" s="147">
        <f t="shared" si="13"/>
        <v>352409.75</v>
      </c>
      <c r="R21" s="86">
        <v>264294.38</v>
      </c>
      <c r="S21" s="113">
        <v>64747.8</v>
      </c>
      <c r="T21" s="92">
        <v>23367.57</v>
      </c>
      <c r="U21" s="92"/>
      <c r="V21" s="86"/>
    </row>
    <row r="22" spans="1:22" x14ac:dyDescent="0.25">
      <c r="A22" s="363"/>
      <c r="B22" s="72" t="str">
        <f>IF(L!$A$1=1,L!B234,IF(L!$A$1=2,L!C234,L!D234))</f>
        <v>2023 Prill</v>
      </c>
      <c r="C22" s="73">
        <f t="shared" si="0"/>
        <v>2095758.0199999998</v>
      </c>
      <c r="D22" s="73">
        <f t="shared" si="10"/>
        <v>2095758.0199999998</v>
      </c>
      <c r="E22" s="104">
        <f t="shared" si="11"/>
        <v>624396.1</v>
      </c>
      <c r="F22" s="113">
        <v>205286.71999999997</v>
      </c>
      <c r="G22" s="113">
        <f>200795.43-5809</f>
        <v>194986.43</v>
      </c>
      <c r="H22" s="113">
        <v>41072.239999999998</v>
      </c>
      <c r="I22" s="105">
        <v>50350</v>
      </c>
      <c r="J22" s="106">
        <v>132700.71000000002</v>
      </c>
      <c r="K22" s="73">
        <f t="shared" ref="K22:K30" si="15">SUM(L22:P22)</f>
        <v>1124800.53</v>
      </c>
      <c r="L22" s="93">
        <v>910969.26</v>
      </c>
      <c r="M22" s="141">
        <v>117026.03</v>
      </c>
      <c r="N22" s="150">
        <v>19861.439999999999</v>
      </c>
      <c r="O22" s="150"/>
      <c r="P22" s="58">
        <v>76943.8</v>
      </c>
      <c r="Q22" s="147">
        <f t="shared" si="13"/>
        <v>346561.38999999996</v>
      </c>
      <c r="R22" s="137">
        <v>259424.57</v>
      </c>
      <c r="S22" s="86">
        <v>44086.719999999994</v>
      </c>
      <c r="T22" s="113">
        <v>13050.1</v>
      </c>
      <c r="U22" s="86"/>
      <c r="V22" s="86">
        <v>30000</v>
      </c>
    </row>
    <row r="23" spans="1:22" x14ac:dyDescent="0.25">
      <c r="A23" s="363"/>
      <c r="B23" s="72" t="str">
        <f>IF(L!$A$1=1,L!B235,IF(L!$A$1=2,L!C235,L!D235))</f>
        <v>2023 Maj</v>
      </c>
      <c r="C23" s="73">
        <f t="shared" si="0"/>
        <v>2421186.5299999998</v>
      </c>
      <c r="D23" s="73">
        <f t="shared" si="10"/>
        <v>2421186.5299999998</v>
      </c>
      <c r="E23" s="104">
        <f t="shared" si="11"/>
        <v>895968.74</v>
      </c>
      <c r="F23" s="113">
        <v>207284.42000000004</v>
      </c>
      <c r="G23" s="108">
        <v>141181.59</v>
      </c>
      <c r="H23" s="115">
        <v>41914.069999999985</v>
      </c>
      <c r="I23" s="108">
        <v>60569</v>
      </c>
      <c r="J23" s="109">
        <v>445019.66</v>
      </c>
      <c r="K23" s="73">
        <f t="shared" si="15"/>
        <v>1104411.98</v>
      </c>
      <c r="L23" s="86">
        <v>919833.93</v>
      </c>
      <c r="M23" s="138">
        <v>168943.39</v>
      </c>
      <c r="N23" s="151">
        <v>15634.66</v>
      </c>
      <c r="O23" s="143"/>
      <c r="P23" s="143"/>
      <c r="Q23" s="147">
        <f t="shared" si="13"/>
        <v>420805.81</v>
      </c>
      <c r="R23" s="86">
        <v>273945.86</v>
      </c>
      <c r="S23" s="113">
        <v>66164.12</v>
      </c>
      <c r="T23" s="86">
        <v>12395.83</v>
      </c>
      <c r="U23" s="86">
        <f>68700-400</f>
        <v>68300</v>
      </c>
      <c r="V23" s="113"/>
    </row>
    <row r="24" spans="1:22" x14ac:dyDescent="0.25">
      <c r="A24" s="363"/>
      <c r="B24" s="72" t="str">
        <f>IF(L!$A$1=1,L!B236,IF(L!$A$1=2,L!C236,L!D236))</f>
        <v>2023 Qershor</v>
      </c>
      <c r="C24" s="73">
        <f t="shared" si="0"/>
        <v>2490510.7599999998</v>
      </c>
      <c r="D24" s="73">
        <f t="shared" si="10"/>
        <v>2490510.7599999998</v>
      </c>
      <c r="E24" s="104">
        <f t="shared" si="11"/>
        <v>1032887.2000000001</v>
      </c>
      <c r="F24" s="108">
        <v>226829.52000000002</v>
      </c>
      <c r="G24" s="108">
        <v>138968.9</v>
      </c>
      <c r="H24" s="113">
        <v>35660.42</v>
      </c>
      <c r="I24" s="108">
        <v>282400</v>
      </c>
      <c r="J24" s="113">
        <f>+J23-J21</f>
        <v>349028.36</v>
      </c>
      <c r="K24" s="73">
        <f t="shared" si="15"/>
        <v>1082061.7</v>
      </c>
      <c r="L24" s="86">
        <v>920241.53</v>
      </c>
      <c r="M24" s="138">
        <v>88304.98</v>
      </c>
      <c r="N24" s="152">
        <v>10627.19</v>
      </c>
      <c r="O24" s="152"/>
      <c r="P24" s="152">
        <v>62888</v>
      </c>
      <c r="Q24" s="153">
        <f t="shared" si="13"/>
        <v>375561.86</v>
      </c>
      <c r="R24" s="86">
        <v>275947.74</v>
      </c>
      <c r="S24" s="86">
        <v>73171.73000000001</v>
      </c>
      <c r="T24" s="86">
        <v>6592.39</v>
      </c>
      <c r="U24" s="86">
        <v>19850</v>
      </c>
      <c r="V24" s="86"/>
    </row>
    <row r="25" spans="1:22" x14ac:dyDescent="0.25">
      <c r="A25" s="363"/>
      <c r="B25" s="72" t="str">
        <f>IF(L!$A$1=1,L!B237,IF(L!$A$1=2,L!C237,L!D237))</f>
        <v>2023 Korrik</v>
      </c>
      <c r="C25" s="73">
        <f t="shared" si="0"/>
        <v>5262154.2299999995</v>
      </c>
      <c r="D25" s="73">
        <f t="shared" si="10"/>
        <v>5262154.2299999995</v>
      </c>
      <c r="E25" s="104">
        <f t="shared" si="11"/>
        <v>1887726.98</v>
      </c>
      <c r="F25" s="113">
        <v>207571.74</v>
      </c>
      <c r="G25" s="115">
        <v>270062.30000000005</v>
      </c>
      <c r="H25" s="115">
        <v>33834.04</v>
      </c>
      <c r="I25" s="91">
        <v>63800</v>
      </c>
      <c r="J25" s="116">
        <v>1312458.8999999999</v>
      </c>
      <c r="K25" s="73">
        <f t="shared" si="15"/>
        <v>2967268.19</v>
      </c>
      <c r="L25" s="86">
        <v>2752521.41</v>
      </c>
      <c r="M25" s="113">
        <v>105949.96</v>
      </c>
      <c r="N25" s="86">
        <v>11869.52</v>
      </c>
      <c r="O25" s="86"/>
      <c r="P25" s="238">
        <v>96927.3</v>
      </c>
      <c r="Q25" s="73">
        <f>SUM(R25:V25)</f>
        <v>407159.06</v>
      </c>
      <c r="R25" s="86">
        <v>294198.92</v>
      </c>
      <c r="S25" s="239">
        <v>68579.569999999992</v>
      </c>
      <c r="T25" s="113">
        <v>5484.17</v>
      </c>
      <c r="U25" s="73"/>
      <c r="V25" s="113">
        <v>38896.400000000001</v>
      </c>
    </row>
    <row r="26" spans="1:22" x14ac:dyDescent="0.25">
      <c r="A26" s="363"/>
      <c r="B26" s="72" t="str">
        <f>IF(L!$A$1=1,L!B238,IF(L!$A$1=2,L!C238,L!D238))</f>
        <v>2023 Gusht</v>
      </c>
      <c r="C26" s="73">
        <f t="shared" si="0"/>
        <v>3512887.8200000003</v>
      </c>
      <c r="D26" s="73">
        <f t="shared" si="10"/>
        <v>3512887.8200000003</v>
      </c>
      <c r="E26" s="104">
        <f t="shared" si="11"/>
        <v>1732806.9700000002</v>
      </c>
      <c r="F26" s="84">
        <v>248671.91999999998</v>
      </c>
      <c r="G26" s="113">
        <v>244576.15000000002</v>
      </c>
      <c r="H26" s="86">
        <v>33129.290000000008</v>
      </c>
      <c r="I26" s="84">
        <v>94545</v>
      </c>
      <c r="J26" s="109">
        <v>1111884.6100000001</v>
      </c>
      <c r="K26" s="73">
        <f t="shared" si="15"/>
        <v>1365954.76</v>
      </c>
      <c r="L26" s="85">
        <v>1257432.0900000001</v>
      </c>
      <c r="M26" s="85">
        <v>57551.43</v>
      </c>
      <c r="N26" s="87">
        <v>10971.24</v>
      </c>
      <c r="O26" s="85"/>
      <c r="P26" s="113">
        <v>40000</v>
      </c>
      <c r="Q26" s="73">
        <f>SUM(R26:V26)</f>
        <v>414126.08999999997</v>
      </c>
      <c r="R26" s="86">
        <v>275474.81</v>
      </c>
      <c r="S26" s="113">
        <v>55032.869999999995</v>
      </c>
      <c r="T26" s="73">
        <v>6118.41</v>
      </c>
      <c r="U26" s="73"/>
      <c r="V26" s="73">
        <v>77500</v>
      </c>
    </row>
    <row r="27" spans="1:22" x14ac:dyDescent="0.25">
      <c r="A27" s="363"/>
      <c r="B27" s="72" t="str">
        <f>IF(L!$A$1=1,L!B239,IF(L!$A$1=2,L!C239,L!D239))</f>
        <v>2023 Shtator</v>
      </c>
      <c r="C27" s="73">
        <f t="shared" si="0"/>
        <v>3634263.2600000002</v>
      </c>
      <c r="D27" s="73">
        <f t="shared" si="10"/>
        <v>3634263.2600000002</v>
      </c>
      <c r="E27" s="104">
        <f t="shared" si="11"/>
        <v>2222802.5300000003</v>
      </c>
      <c r="F27" s="84">
        <v>226562.04</v>
      </c>
      <c r="G27" s="84">
        <f>102074.09-490.26</f>
        <v>101583.83</v>
      </c>
      <c r="H27" s="86">
        <v>33817.61</v>
      </c>
      <c r="I27" s="84">
        <v>92700</v>
      </c>
      <c r="J27" s="84">
        <v>1768139.05</v>
      </c>
      <c r="K27" s="73">
        <f t="shared" si="15"/>
        <v>990144.04999999993</v>
      </c>
      <c r="L27" s="84">
        <v>868263.7</v>
      </c>
      <c r="M27" s="84">
        <v>77959.97</v>
      </c>
      <c r="N27" s="58">
        <v>8568.3799999999992</v>
      </c>
      <c r="O27" s="84"/>
      <c r="P27" s="84">
        <v>35352</v>
      </c>
      <c r="Q27" s="73">
        <f t="shared" ref="Q27:Q32" si="16">SUM(R27:V27)</f>
        <v>421316.68</v>
      </c>
      <c r="R27" s="73">
        <f>268034.79+500-9.73</f>
        <v>268525.06</v>
      </c>
      <c r="S27" s="73">
        <v>41640.97</v>
      </c>
      <c r="T27" s="73">
        <v>5424.9699999999993</v>
      </c>
      <c r="U27" s="73"/>
      <c r="V27" s="73">
        <v>105725.68</v>
      </c>
    </row>
    <row r="28" spans="1:22" x14ac:dyDescent="0.25">
      <c r="A28" s="364"/>
      <c r="B28" s="72" t="str">
        <f>IF(L!$A$1=1,L!B240,IF(L!$A$1=2,L!C240,L!D240))</f>
        <v>2023 Tetor</v>
      </c>
      <c r="C28" s="73">
        <f t="shared" si="0"/>
        <v>4576225.1400000006</v>
      </c>
      <c r="D28" s="73">
        <f t="shared" si="10"/>
        <v>4576225.1400000006</v>
      </c>
      <c r="E28" s="104">
        <f t="shared" si="11"/>
        <v>2731428.68</v>
      </c>
      <c r="F28" s="113">
        <f>224612.03-19214.75</f>
        <v>205397.28</v>
      </c>
      <c r="G28" s="84">
        <v>192370.33</v>
      </c>
      <c r="H28" s="86">
        <v>36182.17</v>
      </c>
      <c r="I28" s="84">
        <v>46494.009999999995</v>
      </c>
      <c r="J28" s="84">
        <v>2250984.89</v>
      </c>
      <c r="K28" s="73">
        <f t="shared" si="15"/>
        <v>1439486.23</v>
      </c>
      <c r="L28" s="73">
        <v>940441.9</v>
      </c>
      <c r="M28" s="103">
        <v>129162</v>
      </c>
      <c r="N28" s="134">
        <v>13719.51</v>
      </c>
      <c r="O28" s="103"/>
      <c r="P28" s="103">
        <v>356162.82</v>
      </c>
      <c r="Q28" s="73">
        <f t="shared" si="16"/>
        <v>405310.23000000004</v>
      </c>
      <c r="R28" s="73">
        <v>269825.26</v>
      </c>
      <c r="S28" s="241">
        <v>77539.8</v>
      </c>
      <c r="T28" s="73">
        <v>3820.53</v>
      </c>
      <c r="U28" s="73">
        <f>10739.2</f>
        <v>10739.2</v>
      </c>
      <c r="V28" s="73">
        <v>43385.440000000002</v>
      </c>
    </row>
    <row r="29" spans="1:22" x14ac:dyDescent="0.25">
      <c r="A29" s="364"/>
      <c r="B29" s="72" t="str">
        <f>IF(L!$A$1=1,L!B241,IF(L!$A$1=2,L!C241,L!D241))</f>
        <v xml:space="preserve">2023 Nëntor </v>
      </c>
      <c r="C29" s="73">
        <f t="shared" si="0"/>
        <v>3892107.3400000003</v>
      </c>
      <c r="D29" s="73">
        <f t="shared" si="10"/>
        <v>3892107.3400000003</v>
      </c>
      <c r="E29" s="104">
        <f t="shared" si="11"/>
        <v>2186365.94</v>
      </c>
      <c r="F29" s="110">
        <v>245439.64</v>
      </c>
      <c r="G29" s="111">
        <f>192701.85-1000</f>
        <v>191701.85</v>
      </c>
      <c r="H29" s="86">
        <v>48209.319999999992</v>
      </c>
      <c r="I29" s="84">
        <v>4600</v>
      </c>
      <c r="J29" s="84">
        <v>1696415.13</v>
      </c>
      <c r="K29" s="73">
        <f t="shared" si="15"/>
        <v>1335339.9700000002</v>
      </c>
      <c r="L29" s="73">
        <v>919266.26</v>
      </c>
      <c r="M29" s="73">
        <v>190673.09</v>
      </c>
      <c r="N29" s="86">
        <v>12804.86</v>
      </c>
      <c r="O29" s="73"/>
      <c r="P29" s="156">
        <v>212595.76</v>
      </c>
      <c r="Q29" s="73">
        <f t="shared" si="16"/>
        <v>370401.43</v>
      </c>
      <c r="R29" s="113">
        <v>268380.13</v>
      </c>
      <c r="S29" s="73">
        <v>43254.560000000005</v>
      </c>
      <c r="T29" s="73">
        <v>8556.75</v>
      </c>
      <c r="U29" s="73">
        <v>1400</v>
      </c>
      <c r="V29" s="133">
        <v>48809.99</v>
      </c>
    </row>
    <row r="30" spans="1:22" x14ac:dyDescent="0.25">
      <c r="A30" s="364"/>
      <c r="B30" s="72" t="str">
        <f>IF(L!$A$1=1,L!B242,IF(L!$A$1=2,L!C242,L!D242))</f>
        <v>2023 Dhjetor</v>
      </c>
      <c r="C30" s="73">
        <f t="shared" si="0"/>
        <v>6519943.6200000001</v>
      </c>
      <c r="D30" s="73">
        <f t="shared" si="10"/>
        <v>6519943.6200000001</v>
      </c>
      <c r="E30" s="104">
        <f t="shared" si="11"/>
        <v>4030276.7100000004</v>
      </c>
      <c r="F30" s="88">
        <v>254333.20000000007</v>
      </c>
      <c r="G30" s="73">
        <v>297272.22000000003</v>
      </c>
      <c r="H30" s="86">
        <v>103297.34000000001</v>
      </c>
      <c r="I30" s="73">
        <v>123229.27</v>
      </c>
      <c r="J30" s="73">
        <v>3252144.68</v>
      </c>
      <c r="K30" s="73">
        <f t="shared" si="15"/>
        <v>1607078.31</v>
      </c>
      <c r="L30" s="73">
        <v>924064.52999999991</v>
      </c>
      <c r="M30" s="73">
        <v>248238.48</v>
      </c>
      <c r="N30" s="86">
        <v>24153.06</v>
      </c>
      <c r="O30" s="73"/>
      <c r="P30" s="73">
        <v>410622.24</v>
      </c>
      <c r="Q30" s="73">
        <f t="shared" si="16"/>
        <v>882588.59999999986</v>
      </c>
      <c r="R30" s="73">
        <v>302744.80999999994</v>
      </c>
      <c r="S30" s="73">
        <v>41855.549999999996</v>
      </c>
      <c r="T30" s="73">
        <v>70497.899999999994</v>
      </c>
      <c r="U30" s="73"/>
      <c r="V30" s="73">
        <v>467490.34</v>
      </c>
    </row>
    <row r="31" spans="1:22" x14ac:dyDescent="0.25">
      <c r="A31" s="365"/>
      <c r="B31" s="74" t="str">
        <f>IF(L!$A$1=1,L!B243,IF(L!$A$1=2,L!C243,L!D243))</f>
        <v>Gjithsej 2023</v>
      </c>
      <c r="C31" s="75">
        <f t="shared" si="0"/>
        <v>40240827.560000002</v>
      </c>
      <c r="D31" s="76">
        <f>SUM(D19:D30)</f>
        <v>40240827.560000002</v>
      </c>
      <c r="E31" s="76">
        <f t="shared" ref="E31:V31" si="17">SUM(E19:E30)</f>
        <v>18776539.050000001</v>
      </c>
      <c r="F31" s="76">
        <f t="shared" si="17"/>
        <v>2594173.1300000004</v>
      </c>
      <c r="G31" s="76">
        <f t="shared" si="17"/>
        <v>2318957.1800000006</v>
      </c>
      <c r="H31" s="76">
        <f t="shared" si="17"/>
        <v>554871.41999999993</v>
      </c>
      <c r="I31" s="76">
        <f t="shared" si="17"/>
        <v>859387.28</v>
      </c>
      <c r="J31" s="76">
        <f t="shared" si="17"/>
        <v>12449150.039999999</v>
      </c>
      <c r="K31" s="76">
        <f t="shared" si="17"/>
        <v>16477512.330000004</v>
      </c>
      <c r="L31" s="76">
        <f t="shared" si="17"/>
        <v>13453762.159999998</v>
      </c>
      <c r="M31" s="76">
        <f t="shared" si="17"/>
        <v>1507015.81</v>
      </c>
      <c r="N31" s="76">
        <f t="shared" si="17"/>
        <v>179238.44</v>
      </c>
      <c r="O31" s="76">
        <f t="shared" si="17"/>
        <v>0</v>
      </c>
      <c r="P31" s="76">
        <f t="shared" si="17"/>
        <v>1337495.92</v>
      </c>
      <c r="Q31" s="76">
        <f t="shared" si="17"/>
        <v>4986776.18</v>
      </c>
      <c r="R31" s="76">
        <f t="shared" si="17"/>
        <v>3243659.7199999993</v>
      </c>
      <c r="S31" s="76">
        <f t="shared" si="17"/>
        <v>655565.02000000014</v>
      </c>
      <c r="T31" s="76">
        <f t="shared" si="17"/>
        <v>175454.38999999998</v>
      </c>
      <c r="U31" s="76">
        <f t="shared" si="17"/>
        <v>100289.2</v>
      </c>
      <c r="V31" s="76">
        <f t="shared" si="17"/>
        <v>811807.85000000009</v>
      </c>
    </row>
    <row r="32" spans="1:22" x14ac:dyDescent="0.25">
      <c r="A32" s="363">
        <v>2024</v>
      </c>
      <c r="B32" s="72" t="s">
        <v>881</v>
      </c>
      <c r="C32" s="198">
        <f t="shared" ref="C32:C44" si="18">E32+K32+Q32</f>
        <v>3596291.4999999995</v>
      </c>
      <c r="D32" s="254">
        <f t="shared" ref="D32:D43" si="19">+E32+K32+Q32</f>
        <v>3596291.4999999995</v>
      </c>
      <c r="E32" s="255">
        <f t="shared" ref="E32:E43" si="20">+F32+G32+H32+I32+J32</f>
        <v>492190.75000000017</v>
      </c>
      <c r="F32" s="256">
        <v>261975.89000000019</v>
      </c>
      <c r="G32" s="200">
        <v>166112.17000000001</v>
      </c>
      <c r="H32" s="201">
        <v>64102.69</v>
      </c>
      <c r="I32" s="256"/>
      <c r="J32" s="257"/>
      <c r="K32" s="94">
        <f t="shared" ref="K32" si="21">SUM(L32:P32)</f>
        <v>2809688.0999999996</v>
      </c>
      <c r="L32" s="94">
        <v>2797371.26</v>
      </c>
      <c r="M32" s="198"/>
      <c r="N32" s="202">
        <v>12316.84</v>
      </c>
      <c r="O32" s="198"/>
      <c r="P32" s="198"/>
      <c r="Q32" s="254">
        <f t="shared" si="16"/>
        <v>294412.65000000002</v>
      </c>
      <c r="R32" s="94">
        <v>276302.08000000002</v>
      </c>
      <c r="S32" s="198">
        <v>1949</v>
      </c>
      <c r="T32" s="202">
        <v>16161.57</v>
      </c>
      <c r="U32" s="198"/>
      <c r="V32" s="198"/>
    </row>
    <row r="33" spans="1:22" x14ac:dyDescent="0.25">
      <c r="A33" s="363"/>
      <c r="B33" s="72" t="s">
        <v>882</v>
      </c>
      <c r="C33" s="73">
        <f t="shared" si="18"/>
        <v>2410968.73</v>
      </c>
      <c r="D33" s="73">
        <f t="shared" si="19"/>
        <v>2410968.73</v>
      </c>
      <c r="E33" s="210">
        <f t="shared" si="20"/>
        <v>944781.66999999993</v>
      </c>
      <c r="F33" s="204">
        <v>233743.21</v>
      </c>
      <c r="G33" s="107">
        <v>387579.9</v>
      </c>
      <c r="H33" s="204">
        <v>58184.62000000001</v>
      </c>
      <c r="I33" s="107">
        <v>39289.199999999997</v>
      </c>
      <c r="J33" s="204">
        <v>225984.74</v>
      </c>
      <c r="K33" s="73">
        <f t="shared" ref="K33" si="22">SUM(L33:P33)</f>
        <v>1090829.27</v>
      </c>
      <c r="L33" s="93">
        <v>957547.44000000006</v>
      </c>
      <c r="M33" s="92">
        <v>111657.40999999999</v>
      </c>
      <c r="N33" s="204">
        <v>21624.42</v>
      </c>
      <c r="O33" s="92"/>
      <c r="P33" s="86"/>
      <c r="Q33" s="73">
        <f t="shared" ref="Q33:Q37" si="23">SUM(R33:V33)</f>
        <v>375357.78999999992</v>
      </c>
      <c r="R33" s="86">
        <v>289980.29999999993</v>
      </c>
      <c r="S33" s="92">
        <v>51823.7</v>
      </c>
      <c r="T33" s="204">
        <v>33553.79</v>
      </c>
      <c r="U33" s="92"/>
      <c r="V33" s="86"/>
    </row>
    <row r="34" spans="1:22" x14ac:dyDescent="0.25">
      <c r="A34" s="363"/>
      <c r="B34" s="72" t="s">
        <v>883</v>
      </c>
      <c r="C34" s="73">
        <f t="shared" si="18"/>
        <v>2680311.94</v>
      </c>
      <c r="D34" s="73">
        <f t="shared" si="19"/>
        <v>2680311.94</v>
      </c>
      <c r="E34" s="210">
        <f t="shared" si="20"/>
        <v>1246859.4299999997</v>
      </c>
      <c r="F34" s="105">
        <v>239779.06</v>
      </c>
      <c r="G34" s="204">
        <v>290913.01999999984</v>
      </c>
      <c r="H34" s="204">
        <v>55014.22</v>
      </c>
      <c r="I34" s="107">
        <v>48050</v>
      </c>
      <c r="J34" s="106">
        <v>613103.13</v>
      </c>
      <c r="K34" s="73">
        <f>SUM(L34:P34)</f>
        <v>1057594.4500000002</v>
      </c>
      <c r="L34" s="93">
        <v>962562.85000000009</v>
      </c>
      <c r="M34" s="206">
        <v>70146.680000000139</v>
      </c>
      <c r="N34" s="206">
        <v>24884.92</v>
      </c>
      <c r="O34" s="92"/>
      <c r="P34" s="72"/>
      <c r="Q34" s="73">
        <f t="shared" si="23"/>
        <v>375858.06</v>
      </c>
      <c r="R34" s="86">
        <v>286150.15999999997</v>
      </c>
      <c r="S34" s="204">
        <v>55593.71</v>
      </c>
      <c r="T34" s="92">
        <v>21114.19</v>
      </c>
      <c r="U34" s="92">
        <v>13000</v>
      </c>
      <c r="V34" s="86"/>
    </row>
    <row r="35" spans="1:22" x14ac:dyDescent="0.25">
      <c r="A35" s="363"/>
      <c r="B35" s="72" t="s">
        <v>884</v>
      </c>
      <c r="C35" s="244">
        <f t="shared" si="18"/>
        <v>3480931.84</v>
      </c>
      <c r="D35" s="244">
        <f t="shared" si="19"/>
        <v>3480931.84</v>
      </c>
      <c r="E35" s="245">
        <f t="shared" si="20"/>
        <v>1344587.52</v>
      </c>
      <c r="F35" s="113">
        <v>233095.45</v>
      </c>
      <c r="G35" s="113">
        <v>252408.84000000003</v>
      </c>
      <c r="H35" s="113">
        <v>73241.459999999992</v>
      </c>
      <c r="I35" s="246">
        <v>124870</v>
      </c>
      <c r="J35" s="247">
        <v>660971.77</v>
      </c>
      <c r="K35" s="244">
        <f t="shared" ref="K35:K43" si="24">SUM(L35:P35)</f>
        <v>1690888.92</v>
      </c>
      <c r="L35" s="248">
        <v>1519666.74</v>
      </c>
      <c r="M35" s="249">
        <v>114882.39999999997</v>
      </c>
      <c r="N35" s="250">
        <v>12279.28</v>
      </c>
      <c r="O35" s="250"/>
      <c r="P35" s="58">
        <v>44060.5</v>
      </c>
      <c r="Q35" s="251">
        <f t="shared" si="23"/>
        <v>445455.39999999997</v>
      </c>
      <c r="R35" s="252">
        <v>281201.8</v>
      </c>
      <c r="S35" s="253">
        <v>91281.17</v>
      </c>
      <c r="T35" s="113">
        <v>12769.58</v>
      </c>
      <c r="U35" s="253">
        <v>16500</v>
      </c>
      <c r="V35" s="253">
        <v>43702.85</v>
      </c>
    </row>
    <row r="36" spans="1:22" x14ac:dyDescent="0.25">
      <c r="A36" s="363"/>
      <c r="B36" s="72" t="s">
        <v>885</v>
      </c>
      <c r="C36" s="73">
        <f t="shared" si="18"/>
        <v>3152540.4</v>
      </c>
      <c r="D36" s="73">
        <f t="shared" si="19"/>
        <v>3152540.4</v>
      </c>
      <c r="E36" s="104">
        <f t="shared" si="20"/>
        <v>1566958.5</v>
      </c>
      <c r="F36" s="113">
        <v>224304.90999999992</v>
      </c>
      <c r="G36" s="108">
        <v>370821</v>
      </c>
      <c r="H36" s="115">
        <v>61640.08</v>
      </c>
      <c r="I36" s="108">
        <v>140044.01</v>
      </c>
      <c r="J36" s="109">
        <v>770148.5</v>
      </c>
      <c r="K36" s="73">
        <f t="shared" si="24"/>
        <v>1169088.6400000001</v>
      </c>
      <c r="L36" s="86">
        <v>1064255.75</v>
      </c>
      <c r="M36" s="138">
        <v>59639.73</v>
      </c>
      <c r="N36" s="151">
        <v>9987.56</v>
      </c>
      <c r="O36" s="143"/>
      <c r="P36" s="143">
        <v>35205.599999999999</v>
      </c>
      <c r="Q36" s="251">
        <f t="shared" si="23"/>
        <v>416493.25999999995</v>
      </c>
      <c r="R36" s="86">
        <v>296993.21999999997</v>
      </c>
      <c r="S36" s="113">
        <v>44988.84</v>
      </c>
      <c r="T36" s="86">
        <v>8011.2</v>
      </c>
      <c r="U36" s="86">
        <v>66500</v>
      </c>
      <c r="V36" s="113"/>
    </row>
    <row r="37" spans="1:22" x14ac:dyDescent="0.25">
      <c r="A37" s="363"/>
      <c r="B37" s="72" t="s">
        <v>886</v>
      </c>
      <c r="C37" s="73">
        <f t="shared" si="18"/>
        <v>3595001.8699999996</v>
      </c>
      <c r="D37" s="73">
        <f t="shared" si="19"/>
        <v>3595001.8699999996</v>
      </c>
      <c r="E37" s="104">
        <f t="shared" si="20"/>
        <v>1159798.76</v>
      </c>
      <c r="F37" s="108">
        <v>221955</v>
      </c>
      <c r="G37" s="108">
        <f>288070.14-500</f>
        <v>287570.14</v>
      </c>
      <c r="H37" s="113">
        <v>45688.87</v>
      </c>
      <c r="I37" s="108">
        <v>80732.679999999993</v>
      </c>
      <c r="J37" s="113">
        <v>523852.07000000007</v>
      </c>
      <c r="K37" s="73">
        <f t="shared" si="24"/>
        <v>2127381.71</v>
      </c>
      <c r="L37" s="86">
        <v>1813966.43</v>
      </c>
      <c r="M37" s="138">
        <f>101158.65+500</f>
        <v>101658.65</v>
      </c>
      <c r="N37" s="152">
        <v>9984.14</v>
      </c>
      <c r="O37" s="152"/>
      <c r="P37" s="152">
        <v>201772.49</v>
      </c>
      <c r="Q37" s="153">
        <f t="shared" si="23"/>
        <v>307821.40000000002</v>
      </c>
      <c r="R37" s="86">
        <v>290440.57</v>
      </c>
      <c r="S37" s="86">
        <v>11252.58</v>
      </c>
      <c r="T37" s="86">
        <v>6128.25</v>
      </c>
      <c r="U37" s="86"/>
      <c r="V37" s="86"/>
    </row>
    <row r="38" spans="1:22" x14ac:dyDescent="0.25">
      <c r="A38" s="363"/>
      <c r="B38" s="72" t="s">
        <v>887</v>
      </c>
      <c r="C38" s="73">
        <f t="shared" si="18"/>
        <v>4129048.41</v>
      </c>
      <c r="D38" s="73">
        <f t="shared" si="19"/>
        <v>4129048.41</v>
      </c>
      <c r="E38" s="104">
        <f t="shared" si="20"/>
        <v>2409488.7800000003</v>
      </c>
      <c r="F38" s="113">
        <v>223315.4</v>
      </c>
      <c r="G38" s="115">
        <v>541943.81000000006</v>
      </c>
      <c r="H38" s="115">
        <v>36548.660000000003</v>
      </c>
      <c r="I38" s="91">
        <v>283100.31</v>
      </c>
      <c r="J38" s="116">
        <v>1324580.6000000001</v>
      </c>
      <c r="K38" s="73">
        <f t="shared" si="24"/>
        <v>1247882.54</v>
      </c>
      <c r="L38" s="86">
        <v>947344.01</v>
      </c>
      <c r="M38" s="113">
        <v>65531.65</v>
      </c>
      <c r="N38" s="86">
        <v>9849.8799999999992</v>
      </c>
      <c r="O38" s="86"/>
      <c r="P38" s="238">
        <v>225157</v>
      </c>
      <c r="Q38" s="73">
        <f>SUM(R38:V38)</f>
        <v>471677.09000000008</v>
      </c>
      <c r="R38" s="86">
        <v>283500.58000000007</v>
      </c>
      <c r="S38" s="239">
        <v>64236.07</v>
      </c>
      <c r="T38" s="113">
        <v>6240.44</v>
      </c>
      <c r="U38" s="73">
        <v>17700</v>
      </c>
      <c r="V38" s="113">
        <v>100000</v>
      </c>
    </row>
    <row r="39" spans="1:22" x14ac:dyDescent="0.25">
      <c r="A39" s="363"/>
      <c r="B39" s="72" t="s">
        <v>888</v>
      </c>
      <c r="C39" s="73">
        <f t="shared" si="18"/>
        <v>3365118.1100000003</v>
      </c>
      <c r="D39" s="73">
        <f t="shared" si="19"/>
        <v>3365118.1100000003</v>
      </c>
      <c r="E39" s="104">
        <f t="shared" si="20"/>
        <v>1630581.0899999999</v>
      </c>
      <c r="F39" s="84">
        <v>215850.59</v>
      </c>
      <c r="G39" s="113">
        <f>190136.12-4550+2563.3</f>
        <v>188149.41999999998</v>
      </c>
      <c r="H39" s="86">
        <v>45241.850000000006</v>
      </c>
      <c r="I39" s="84">
        <f>187485.08-5255.8</f>
        <v>182229.28</v>
      </c>
      <c r="J39" s="109">
        <v>999109.95</v>
      </c>
      <c r="K39" s="73">
        <f t="shared" si="24"/>
        <v>996340.16000000015</v>
      </c>
      <c r="L39" s="85">
        <v>950759.35000000009</v>
      </c>
      <c r="M39" s="85">
        <v>36456.78</v>
      </c>
      <c r="N39" s="87">
        <v>9124.0300000000007</v>
      </c>
      <c r="O39" s="85"/>
      <c r="P39" s="113"/>
      <c r="Q39" s="73">
        <f>SUM(R39:V39)</f>
        <v>738196.8600000001</v>
      </c>
      <c r="R39" s="86">
        <v>308136.17</v>
      </c>
      <c r="S39" s="113">
        <v>110550.22</v>
      </c>
      <c r="T39" s="73">
        <v>6474.0199999999995</v>
      </c>
      <c r="U39" s="73">
        <v>13336.61</v>
      </c>
      <c r="V39" s="73">
        <v>299699.84000000003</v>
      </c>
    </row>
    <row r="40" spans="1:22" x14ac:dyDescent="0.25">
      <c r="A40" s="363"/>
      <c r="B40" s="72" t="s">
        <v>889</v>
      </c>
      <c r="C40" s="73">
        <f t="shared" si="18"/>
        <v>3819224.97</v>
      </c>
      <c r="D40" s="73">
        <f t="shared" si="19"/>
        <v>3819224.97</v>
      </c>
      <c r="E40" s="104">
        <f t="shared" si="20"/>
        <v>2042058.53</v>
      </c>
      <c r="F40" s="84">
        <v>223074.66999999998</v>
      </c>
      <c r="G40" s="84">
        <v>221769.26</v>
      </c>
      <c r="H40" s="86">
        <v>42033.98</v>
      </c>
      <c r="I40" s="84">
        <v>13910.3</v>
      </c>
      <c r="J40" s="84">
        <v>1541270.32</v>
      </c>
      <c r="K40" s="73">
        <f t="shared" si="24"/>
        <v>1334955.04</v>
      </c>
      <c r="L40" s="84">
        <v>962859.38000000012</v>
      </c>
      <c r="M40" s="84">
        <v>23553</v>
      </c>
      <c r="N40" s="58">
        <v>4811.43</v>
      </c>
      <c r="O40" s="84"/>
      <c r="P40" s="84">
        <v>343731.23</v>
      </c>
      <c r="Q40" s="73">
        <f t="shared" ref="Q40:Q43" si="25">SUM(R40:V40)</f>
        <v>442211.4</v>
      </c>
      <c r="R40" s="73">
        <v>284353.31</v>
      </c>
      <c r="S40" s="73">
        <v>47832.98</v>
      </c>
      <c r="T40" s="73">
        <v>6615.71</v>
      </c>
      <c r="U40" s="73"/>
      <c r="V40" s="73">
        <v>103409.4</v>
      </c>
    </row>
    <row r="41" spans="1:22" x14ac:dyDescent="0.25">
      <c r="A41" s="364"/>
      <c r="B41" s="72" t="s">
        <v>890</v>
      </c>
      <c r="C41" s="73">
        <f t="shared" si="18"/>
        <v>4601287.38</v>
      </c>
      <c r="D41" s="73">
        <f t="shared" si="19"/>
        <v>4601287.38</v>
      </c>
      <c r="E41" s="104">
        <f t="shared" si="20"/>
        <v>2773719.2199999997</v>
      </c>
      <c r="F41" s="113">
        <v>223252.8</v>
      </c>
      <c r="G41" s="84">
        <v>294769.25</v>
      </c>
      <c r="H41" s="86">
        <v>50685.229999999996</v>
      </c>
      <c r="I41" s="84"/>
      <c r="J41" s="84">
        <v>2205011.94</v>
      </c>
      <c r="K41" s="73">
        <f t="shared" si="24"/>
        <v>1192902.6100000001</v>
      </c>
      <c r="L41" s="73">
        <f>1010838.89-50400</f>
        <v>960438.89</v>
      </c>
      <c r="M41" s="103">
        <v>101202.20000000001</v>
      </c>
      <c r="N41" s="134">
        <v>9989.1200000000008</v>
      </c>
      <c r="O41" s="103"/>
      <c r="P41" s="103">
        <v>121272.4</v>
      </c>
      <c r="Q41" s="73">
        <f t="shared" si="25"/>
        <v>634665.55000000005</v>
      </c>
      <c r="R41" s="73">
        <f>285998+5455</f>
        <v>291453</v>
      </c>
      <c r="S41" s="241">
        <v>101982.06000000001</v>
      </c>
      <c r="T41" s="73">
        <v>7336.5999999999995</v>
      </c>
      <c r="U41" s="73">
        <v>12800</v>
      </c>
      <c r="V41" s="73">
        <v>221093.89</v>
      </c>
    </row>
    <row r="42" spans="1:22" x14ac:dyDescent="0.25">
      <c r="A42" s="364"/>
      <c r="B42" s="72" t="s">
        <v>891</v>
      </c>
      <c r="C42" s="73">
        <f t="shared" si="18"/>
        <v>2961572.9499999997</v>
      </c>
      <c r="D42" s="73">
        <f t="shared" si="19"/>
        <v>2961572.9499999997</v>
      </c>
      <c r="E42" s="104">
        <f t="shared" si="20"/>
        <v>1122149.49</v>
      </c>
      <c r="F42" s="110">
        <v>242240.12</v>
      </c>
      <c r="G42" s="111">
        <v>286815.46999999997</v>
      </c>
      <c r="H42" s="86">
        <v>33121</v>
      </c>
      <c r="I42" s="84">
        <v>24942.5</v>
      </c>
      <c r="J42" s="84">
        <v>535030.4</v>
      </c>
      <c r="K42" s="73">
        <f t="shared" si="24"/>
        <v>1381609.0699999998</v>
      </c>
      <c r="L42" s="73">
        <v>971538</v>
      </c>
      <c r="M42" s="73">
        <v>99727.450000000012</v>
      </c>
      <c r="N42" s="86">
        <v>43.29</v>
      </c>
      <c r="O42" s="73"/>
      <c r="P42" s="156">
        <v>310300.32999999996</v>
      </c>
      <c r="Q42" s="73">
        <f t="shared" si="25"/>
        <v>457814.39</v>
      </c>
      <c r="R42" s="113">
        <v>273479.86</v>
      </c>
      <c r="S42" s="73">
        <v>56172.14</v>
      </c>
      <c r="T42" s="73">
        <v>49163.990000000005</v>
      </c>
      <c r="U42" s="73">
        <v>200</v>
      </c>
      <c r="V42" s="133">
        <v>78798.399999999994</v>
      </c>
    </row>
    <row r="43" spans="1:22" x14ac:dyDescent="0.25">
      <c r="A43" s="364"/>
      <c r="B43" s="72" t="s">
        <v>892</v>
      </c>
      <c r="C43" s="73">
        <f t="shared" si="18"/>
        <v>4686628.0299999993</v>
      </c>
      <c r="D43" s="73">
        <f t="shared" si="19"/>
        <v>4686628.0299999993</v>
      </c>
      <c r="E43" s="104">
        <f t="shared" si="20"/>
        <v>2917091.1199999996</v>
      </c>
      <c r="F43" s="88">
        <v>217214.96</v>
      </c>
      <c r="G43" s="73">
        <v>498180.14</v>
      </c>
      <c r="H43" s="86">
        <v>73451.340000000011</v>
      </c>
      <c r="I43" s="73">
        <v>38675</v>
      </c>
      <c r="J43" s="73">
        <v>2089569.6799999997</v>
      </c>
      <c r="K43" s="73">
        <f t="shared" si="24"/>
        <v>1062569.8700000001</v>
      </c>
      <c r="L43" s="73">
        <v>973846.12</v>
      </c>
      <c r="M43" s="73">
        <v>54152.28</v>
      </c>
      <c r="N43" s="86">
        <v>3101.62</v>
      </c>
      <c r="O43" s="73"/>
      <c r="P43" s="73">
        <v>31469.85</v>
      </c>
      <c r="Q43" s="73">
        <f t="shared" si="25"/>
        <v>706967.04000000004</v>
      </c>
      <c r="R43" s="73">
        <v>309753.96000000002</v>
      </c>
      <c r="S43" s="73">
        <v>136917.72</v>
      </c>
      <c r="T43" s="73">
        <v>26755.11</v>
      </c>
      <c r="U43" s="73"/>
      <c r="V43" s="73">
        <v>233540.25</v>
      </c>
    </row>
    <row r="44" spans="1:22" x14ac:dyDescent="0.25">
      <c r="A44" s="365"/>
      <c r="B44" s="74" t="s">
        <v>880</v>
      </c>
      <c r="C44" s="75">
        <f t="shared" si="18"/>
        <v>42478926.129999995</v>
      </c>
      <c r="D44" s="76">
        <f>SUM(D32:D43)</f>
        <v>42478926.130000003</v>
      </c>
      <c r="E44" s="76">
        <f t="shared" ref="E44:V44" si="26">SUM(E32:E43)</f>
        <v>19650264.859999999</v>
      </c>
      <c r="F44" s="76">
        <f t="shared" si="26"/>
        <v>2759802.06</v>
      </c>
      <c r="G44" s="76">
        <f t="shared" si="26"/>
        <v>3787032.4199999995</v>
      </c>
      <c r="H44" s="76">
        <f t="shared" si="26"/>
        <v>638953.99999999988</v>
      </c>
      <c r="I44" s="76">
        <f t="shared" si="26"/>
        <v>975843.28</v>
      </c>
      <c r="J44" s="76">
        <f t="shared" si="26"/>
        <v>11488633.1</v>
      </c>
      <c r="K44" s="76">
        <f t="shared" si="26"/>
        <v>17161730.379999999</v>
      </c>
      <c r="L44" s="76">
        <f t="shared" si="26"/>
        <v>14882156.220000001</v>
      </c>
      <c r="M44" s="76">
        <f t="shared" si="26"/>
        <v>838608.23000000021</v>
      </c>
      <c r="N44" s="76">
        <f t="shared" si="26"/>
        <v>127996.52999999998</v>
      </c>
      <c r="O44" s="76">
        <f t="shared" si="26"/>
        <v>0</v>
      </c>
      <c r="P44" s="76">
        <f t="shared" si="26"/>
        <v>1312969.3999999999</v>
      </c>
      <c r="Q44" s="76">
        <f t="shared" si="26"/>
        <v>5666930.8900000006</v>
      </c>
      <c r="R44" s="76">
        <f t="shared" si="26"/>
        <v>3471745.01</v>
      </c>
      <c r="S44" s="76">
        <f t="shared" si="26"/>
        <v>774580.19000000006</v>
      </c>
      <c r="T44" s="76">
        <f t="shared" si="26"/>
        <v>200324.45</v>
      </c>
      <c r="U44" s="76">
        <f t="shared" si="26"/>
        <v>140036.60999999999</v>
      </c>
      <c r="V44" s="76">
        <f t="shared" si="26"/>
        <v>1080244.6300000001</v>
      </c>
    </row>
    <row r="45" spans="1:22" x14ac:dyDescent="0.25">
      <c r="A45" s="363">
        <v>2025</v>
      </c>
      <c r="B45" s="72" t="s">
        <v>795</v>
      </c>
      <c r="C45" s="198">
        <f t="shared" ref="C45:C57" si="27">E45+K45+Q45</f>
        <v>1904725.9999999998</v>
      </c>
      <c r="D45" s="254">
        <f t="shared" ref="D45:D56" si="28">+E45+K45+Q45</f>
        <v>1904725.9999999998</v>
      </c>
      <c r="E45" s="255">
        <f t="shared" ref="E45:E56" si="29">+F45+G45+H45+I45+J45</f>
        <v>537486.56999999995</v>
      </c>
      <c r="F45" s="256">
        <v>240562</v>
      </c>
      <c r="G45" s="200">
        <v>158203.10999999999</v>
      </c>
      <c r="H45" s="201">
        <v>47563.26</v>
      </c>
      <c r="I45" s="256"/>
      <c r="J45" s="257">
        <v>91158.2</v>
      </c>
      <c r="K45" s="94">
        <f t="shared" ref="K45" si="30">SUM(L45:P45)</f>
        <v>1065468.92</v>
      </c>
      <c r="L45" s="94">
        <v>1055740.3799999999</v>
      </c>
      <c r="M45" s="198"/>
      <c r="N45" s="202">
        <v>9728.5400000000009</v>
      </c>
      <c r="O45" s="198"/>
      <c r="P45" s="198"/>
      <c r="Q45" s="73">
        <f t="shared" ref="Q45:Q50" si="31">SUM(R45:V45)</f>
        <v>301770.51</v>
      </c>
      <c r="R45" s="94">
        <v>301770.51</v>
      </c>
      <c r="S45" s="198"/>
      <c r="T45" s="202"/>
      <c r="U45" s="198"/>
      <c r="V45" s="198"/>
    </row>
    <row r="46" spans="1:22" x14ac:dyDescent="0.25">
      <c r="A46" s="363"/>
      <c r="B46" s="72" t="s">
        <v>893</v>
      </c>
      <c r="C46" s="73">
        <f t="shared" si="27"/>
        <v>3778213.1399999997</v>
      </c>
      <c r="D46" s="73">
        <f t="shared" si="28"/>
        <v>3778213.1399999997</v>
      </c>
      <c r="E46" s="210">
        <f t="shared" si="29"/>
        <v>1925025.71</v>
      </c>
      <c r="F46" s="204">
        <v>247711.16999999987</v>
      </c>
      <c r="G46" s="107">
        <v>493593.74</v>
      </c>
      <c r="H46" s="204">
        <v>129942.68000000001</v>
      </c>
      <c r="I46" s="107">
        <v>7540</v>
      </c>
      <c r="J46" s="204">
        <v>1046238.1199999999</v>
      </c>
      <c r="K46" s="73">
        <f t="shared" ref="K46" si="32">SUM(L46:P46)</f>
        <v>1425209.09</v>
      </c>
      <c r="L46" s="93">
        <f>1055288.92+156</f>
        <v>1055444.92</v>
      </c>
      <c r="M46" s="92">
        <v>81880.86</v>
      </c>
      <c r="N46" s="204"/>
      <c r="O46" s="92"/>
      <c r="P46" s="86">
        <v>287883.31</v>
      </c>
      <c r="Q46" s="73">
        <f t="shared" si="31"/>
        <v>427978.34</v>
      </c>
      <c r="R46" s="86">
        <v>304103.46000000002</v>
      </c>
      <c r="S46" s="92">
        <v>80184.05</v>
      </c>
      <c r="T46" s="204">
        <v>33690.83</v>
      </c>
      <c r="U46" s="92"/>
      <c r="V46" s="86">
        <v>10000</v>
      </c>
    </row>
    <row r="47" spans="1:22" x14ac:dyDescent="0.25">
      <c r="A47" s="363"/>
      <c r="B47" s="72" t="s">
        <v>894</v>
      </c>
      <c r="C47" s="73">
        <f t="shared" si="27"/>
        <v>3399387.5700000003</v>
      </c>
      <c r="D47" s="73">
        <f t="shared" si="28"/>
        <v>3399387.5700000003</v>
      </c>
      <c r="E47" s="210">
        <f t="shared" si="29"/>
        <v>1671154.12</v>
      </c>
      <c r="F47" s="105">
        <v>249030.58</v>
      </c>
      <c r="G47" s="204">
        <v>357309.72</v>
      </c>
      <c r="H47" s="204">
        <v>56042.770000000004</v>
      </c>
      <c r="I47" s="107">
        <v>110816.95999999999</v>
      </c>
      <c r="J47" s="106">
        <v>897954.09000000008</v>
      </c>
      <c r="K47" s="73">
        <f>SUM(L47:P47)</f>
        <v>1329757.8700000001</v>
      </c>
      <c r="L47" s="93">
        <v>1084228.81</v>
      </c>
      <c r="M47" s="206">
        <v>87356.790000000008</v>
      </c>
      <c r="N47" s="206">
        <v>22053.72</v>
      </c>
      <c r="O47" s="92"/>
      <c r="P47" s="72">
        <v>136118.54999999999</v>
      </c>
      <c r="Q47" s="73">
        <f t="shared" si="31"/>
        <v>398475.57999999996</v>
      </c>
      <c r="R47" s="86">
        <v>313503.68999999994</v>
      </c>
      <c r="S47" s="204">
        <v>62772.06</v>
      </c>
      <c r="T47" s="92">
        <v>22199.829999999998</v>
      </c>
      <c r="U47" s="92"/>
      <c r="V47" s="86"/>
    </row>
    <row r="48" spans="1:22" x14ac:dyDescent="0.25">
      <c r="A48" s="363"/>
      <c r="B48" s="72" t="s">
        <v>804</v>
      </c>
      <c r="C48" s="244">
        <f t="shared" si="27"/>
        <v>3942606.5599999996</v>
      </c>
      <c r="D48" s="244">
        <f t="shared" si="28"/>
        <v>3942606.5599999996</v>
      </c>
      <c r="E48" s="245">
        <f t="shared" si="29"/>
        <v>2329325.33</v>
      </c>
      <c r="F48" s="113">
        <v>244913.73</v>
      </c>
      <c r="G48" s="113">
        <v>315505.02</v>
      </c>
      <c r="H48" s="113">
        <v>50675.31</v>
      </c>
      <c r="I48" s="246">
        <v>145260</v>
      </c>
      <c r="J48" s="247">
        <v>1572971.27</v>
      </c>
      <c r="K48" s="244">
        <f t="shared" ref="K48:K56" si="33">SUM(L48:P48)</f>
        <v>1135517.6399999999</v>
      </c>
      <c r="L48" s="248">
        <v>1050067.18</v>
      </c>
      <c r="M48" s="249">
        <v>71825.05</v>
      </c>
      <c r="N48" s="250">
        <v>13625.41</v>
      </c>
      <c r="O48" s="250"/>
      <c r="Q48" s="251">
        <f t="shared" si="31"/>
        <v>477763.58999999997</v>
      </c>
      <c r="R48" s="252">
        <v>311588.33999999997</v>
      </c>
      <c r="S48" s="253">
        <v>54645.24</v>
      </c>
      <c r="T48" s="113">
        <v>19980.009999999998</v>
      </c>
      <c r="U48" s="253"/>
      <c r="V48" s="253">
        <v>91550</v>
      </c>
    </row>
    <row r="49" spans="1:22" x14ac:dyDescent="0.25">
      <c r="A49" s="363"/>
      <c r="B49" s="72" t="s">
        <v>806</v>
      </c>
      <c r="C49" s="73">
        <f t="shared" si="27"/>
        <v>3344841.6000000006</v>
      </c>
      <c r="D49" s="73">
        <f t="shared" si="28"/>
        <v>3344841.6000000006</v>
      </c>
      <c r="E49" s="104">
        <f t="shared" si="29"/>
        <v>1640353.5100000002</v>
      </c>
      <c r="F49" s="113">
        <v>256085.56</v>
      </c>
      <c r="G49" s="108">
        <v>517476.28000000009</v>
      </c>
      <c r="H49" s="115">
        <v>48953.520000000004</v>
      </c>
      <c r="I49" s="108">
        <v>171980</v>
      </c>
      <c r="J49" s="109">
        <v>645858.15</v>
      </c>
      <c r="K49" s="73">
        <f t="shared" si="33"/>
        <v>1300454.7200000002</v>
      </c>
      <c r="L49" s="86">
        <v>1040359.77</v>
      </c>
      <c r="M49" s="138">
        <v>58686.55</v>
      </c>
      <c r="N49" s="151">
        <v>14999.54</v>
      </c>
      <c r="O49" s="143"/>
      <c r="P49" s="143">
        <v>186408.86</v>
      </c>
      <c r="Q49" s="251">
        <f t="shared" si="31"/>
        <v>404033.37</v>
      </c>
      <c r="R49" s="86">
        <v>310251.01</v>
      </c>
      <c r="S49" s="113">
        <v>49951.87</v>
      </c>
      <c r="T49" s="86">
        <v>12030.49</v>
      </c>
      <c r="U49" s="86">
        <v>31800</v>
      </c>
      <c r="V49" s="113"/>
    </row>
    <row r="50" spans="1:22" x14ac:dyDescent="0.25">
      <c r="A50" s="363"/>
      <c r="B50" s="72" t="s">
        <v>808</v>
      </c>
      <c r="C50" s="73">
        <f t="shared" si="27"/>
        <v>3166568.28</v>
      </c>
      <c r="D50" s="73">
        <f t="shared" si="28"/>
        <v>3166568.28</v>
      </c>
      <c r="E50" s="104">
        <f t="shared" si="29"/>
        <v>1581493.6300000001</v>
      </c>
      <c r="F50" s="108">
        <v>273235</v>
      </c>
      <c r="G50" s="108">
        <v>370538.15</v>
      </c>
      <c r="H50" s="113">
        <v>22183.05</v>
      </c>
      <c r="I50" s="108">
        <v>197720</v>
      </c>
      <c r="J50" s="113">
        <v>717817.43</v>
      </c>
      <c r="K50" s="73">
        <f t="shared" si="33"/>
        <v>1106313.3399999999</v>
      </c>
      <c r="L50" s="86">
        <v>1040359.77</v>
      </c>
      <c r="M50" s="138">
        <v>55148.42</v>
      </c>
      <c r="N50" s="152">
        <v>10805.15</v>
      </c>
      <c r="O50" s="152"/>
      <c r="P50" s="152"/>
      <c r="Q50" s="153">
        <f t="shared" si="31"/>
        <v>478761.31</v>
      </c>
      <c r="R50" s="86">
        <v>309390.69</v>
      </c>
      <c r="S50" s="86">
        <v>13237.57</v>
      </c>
      <c r="T50" s="86">
        <v>22183.05</v>
      </c>
      <c r="U50" s="86">
        <v>85500</v>
      </c>
      <c r="V50" s="86">
        <v>48450</v>
      </c>
    </row>
    <row r="51" spans="1:22" x14ac:dyDescent="0.25">
      <c r="A51" s="363"/>
      <c r="B51" s="72" t="s">
        <v>811</v>
      </c>
      <c r="C51" s="73">
        <f t="shared" si="27"/>
        <v>3556835.69</v>
      </c>
      <c r="D51" s="73">
        <f t="shared" si="28"/>
        <v>3556835.69</v>
      </c>
      <c r="E51" s="104">
        <f t="shared" si="29"/>
        <v>1731425.29</v>
      </c>
      <c r="F51" s="113">
        <v>279916.84000000003</v>
      </c>
      <c r="G51" s="115">
        <v>285761.51999999996</v>
      </c>
      <c r="H51" s="115">
        <v>38776.810000000005</v>
      </c>
      <c r="I51" s="91">
        <v>146710.79999999999</v>
      </c>
      <c r="J51" s="116">
        <v>980259.32000000007</v>
      </c>
      <c r="K51" s="73">
        <f t="shared" si="33"/>
        <v>1389263.6399999997</v>
      </c>
      <c r="L51" s="86">
        <v>1132911.6099999999</v>
      </c>
      <c r="M51" s="113">
        <v>76804.459999999992</v>
      </c>
      <c r="N51" s="86">
        <v>9949.9</v>
      </c>
      <c r="O51" s="86"/>
      <c r="P51" s="238">
        <v>169597.66999999998</v>
      </c>
      <c r="Q51" s="73">
        <f>SUM(R51:V51)</f>
        <v>436146.76000000007</v>
      </c>
      <c r="R51" s="86">
        <v>357732.55000000005</v>
      </c>
      <c r="S51" s="239">
        <v>35044.75</v>
      </c>
      <c r="T51" s="113">
        <v>7835.46</v>
      </c>
      <c r="U51" s="73">
        <v>15350</v>
      </c>
      <c r="V51" s="113">
        <v>20184</v>
      </c>
    </row>
    <row r="52" spans="1:22" x14ac:dyDescent="0.25">
      <c r="A52" s="363"/>
      <c r="B52" s="72" t="s">
        <v>814</v>
      </c>
      <c r="C52" s="73">
        <f t="shared" si="27"/>
        <v>3201141.58</v>
      </c>
      <c r="D52" s="73">
        <f t="shared" si="28"/>
        <v>3201141.58</v>
      </c>
      <c r="E52" s="104">
        <f t="shared" si="29"/>
        <v>1235931.6499999999</v>
      </c>
      <c r="F52" s="84">
        <f>271390.32+3122</f>
        <v>274512.32</v>
      </c>
      <c r="G52" s="113">
        <f>272231.07-26975</f>
        <v>245256.07</v>
      </c>
      <c r="H52" s="86">
        <v>20184</v>
      </c>
      <c r="I52" s="84">
        <v>118460.56</v>
      </c>
      <c r="J52" s="109">
        <v>577518.69999999995</v>
      </c>
      <c r="K52" s="73">
        <f t="shared" si="33"/>
        <v>1439106.75</v>
      </c>
      <c r="L52" s="85">
        <v>1152880.6099999999</v>
      </c>
      <c r="M52" s="85">
        <v>20989.59</v>
      </c>
      <c r="N52" s="87">
        <f>25319.35+26924</f>
        <v>52243.35</v>
      </c>
      <c r="O52" s="85"/>
      <c r="P52" s="113">
        <v>212993.2</v>
      </c>
      <c r="Q52" s="73">
        <f>SUM(R52:V52)</f>
        <v>526103.18000000005</v>
      </c>
      <c r="R52" s="86">
        <v>337483.47000000003</v>
      </c>
      <c r="S52" s="113">
        <v>22624.710000000003</v>
      </c>
      <c r="T52" s="73">
        <v>1908</v>
      </c>
      <c r="U52" s="73"/>
      <c r="V52" s="73">
        <v>164087</v>
      </c>
    </row>
    <row r="53" spans="1:22" x14ac:dyDescent="0.25">
      <c r="A53" s="363"/>
      <c r="B53" s="72" t="s">
        <v>817</v>
      </c>
      <c r="C53" s="73">
        <f t="shared" si="27"/>
        <v>3409244.73</v>
      </c>
      <c r="D53" s="73">
        <f t="shared" si="28"/>
        <v>3409244.73</v>
      </c>
      <c r="E53" s="104">
        <f t="shared" si="29"/>
        <v>1746970.27</v>
      </c>
      <c r="F53" s="84">
        <v>267509.86</v>
      </c>
      <c r="G53" s="84">
        <v>306449.34000000003</v>
      </c>
      <c r="H53" s="86">
        <v>44438.57</v>
      </c>
      <c r="I53" s="84">
        <v>26265.100000000002</v>
      </c>
      <c r="J53" s="84">
        <v>1102307.4000000001</v>
      </c>
      <c r="K53" s="73">
        <f t="shared" si="33"/>
        <v>1269590.78</v>
      </c>
      <c r="L53" s="84">
        <v>1121234.5900000001</v>
      </c>
      <c r="M53" s="84">
        <v>100290.27999999994</v>
      </c>
      <c r="N53" s="58">
        <v>7983.21</v>
      </c>
      <c r="O53" s="84"/>
      <c r="P53" s="84">
        <v>40082.699999999997</v>
      </c>
      <c r="Q53" s="73">
        <f t="shared" ref="Q53:Q56" si="34">SUM(R53:V53)</f>
        <v>392683.68</v>
      </c>
      <c r="R53" s="73">
        <v>308312.7</v>
      </c>
      <c r="S53" s="73">
        <v>38531.730000000003</v>
      </c>
      <c r="T53" s="73">
        <v>6655.25</v>
      </c>
      <c r="U53" s="73"/>
      <c r="V53" s="73">
        <v>39184</v>
      </c>
    </row>
    <row r="54" spans="1:22" x14ac:dyDescent="0.25">
      <c r="A54" s="364"/>
      <c r="B54" s="72" t="s">
        <v>820</v>
      </c>
      <c r="C54" s="73">
        <f t="shared" si="27"/>
        <v>3460167.32</v>
      </c>
      <c r="D54" s="73">
        <f t="shared" si="28"/>
        <v>3460167.32</v>
      </c>
      <c r="E54" s="104">
        <f t="shared" si="29"/>
        <v>1712633.37</v>
      </c>
      <c r="F54" s="113">
        <v>277453.56999999995</v>
      </c>
      <c r="G54" s="84">
        <v>348195.56</v>
      </c>
      <c r="H54" s="86">
        <v>49223.64</v>
      </c>
      <c r="I54" s="84">
        <v>109903</v>
      </c>
      <c r="J54" s="84">
        <v>927857.60000000009</v>
      </c>
      <c r="K54" s="73">
        <f t="shared" si="33"/>
        <v>1369935.8800000001</v>
      </c>
      <c r="L54" s="73">
        <v>1118780.9200000002</v>
      </c>
      <c r="M54" s="103">
        <v>86498.729999999923</v>
      </c>
      <c r="N54" s="134">
        <v>15725.55</v>
      </c>
      <c r="O54" s="103"/>
      <c r="P54" s="103">
        <v>148930.68</v>
      </c>
      <c r="Q54" s="73">
        <f t="shared" si="34"/>
        <v>377598.07</v>
      </c>
      <c r="R54" s="73">
        <v>327121.05</v>
      </c>
      <c r="S54" s="241">
        <v>32213.43</v>
      </c>
      <c r="T54" s="73">
        <v>5863.59</v>
      </c>
      <c r="U54" s="73">
        <v>12400</v>
      </c>
      <c r="V54" s="73"/>
    </row>
    <row r="55" spans="1:22" x14ac:dyDescent="0.25">
      <c r="A55" s="364"/>
      <c r="B55" s="72" t="s">
        <v>895</v>
      </c>
      <c r="C55" s="73">
        <f t="shared" si="27"/>
        <v>0</v>
      </c>
      <c r="D55" s="73">
        <f t="shared" si="28"/>
        <v>0</v>
      </c>
      <c r="E55" s="104">
        <f t="shared" si="29"/>
        <v>0</v>
      </c>
      <c r="F55" s="110"/>
      <c r="G55" s="111"/>
      <c r="H55" s="86"/>
      <c r="I55" s="84"/>
      <c r="J55" s="84"/>
      <c r="K55" s="73">
        <f t="shared" si="33"/>
        <v>0</v>
      </c>
      <c r="L55" s="73"/>
      <c r="M55" s="73"/>
      <c r="N55" s="86"/>
      <c r="O55" s="73"/>
      <c r="P55" s="156"/>
      <c r="Q55" s="73">
        <f t="shared" si="34"/>
        <v>0</v>
      </c>
      <c r="R55" s="113"/>
      <c r="S55" s="73"/>
      <c r="T55" s="73"/>
      <c r="U55" s="73"/>
      <c r="V55" s="133"/>
    </row>
    <row r="56" spans="1:22" x14ac:dyDescent="0.25">
      <c r="A56" s="364"/>
      <c r="B56" s="72" t="s">
        <v>826</v>
      </c>
      <c r="C56" s="73">
        <f t="shared" si="27"/>
        <v>0</v>
      </c>
      <c r="D56" s="73">
        <f t="shared" si="28"/>
        <v>0</v>
      </c>
      <c r="E56" s="104">
        <f t="shared" si="29"/>
        <v>0</v>
      </c>
      <c r="F56" s="88"/>
      <c r="G56" s="73"/>
      <c r="H56" s="86"/>
      <c r="I56" s="73"/>
      <c r="J56" s="73"/>
      <c r="K56" s="73">
        <f t="shared" si="33"/>
        <v>0</v>
      </c>
      <c r="L56" s="73"/>
      <c r="M56" s="73"/>
      <c r="N56" s="86"/>
      <c r="O56" s="73"/>
      <c r="P56" s="73"/>
      <c r="Q56" s="73">
        <f t="shared" si="34"/>
        <v>0</v>
      </c>
      <c r="R56" s="73"/>
      <c r="S56" s="73"/>
      <c r="T56" s="73"/>
      <c r="U56" s="73"/>
      <c r="V56" s="73"/>
    </row>
    <row r="57" spans="1:22" x14ac:dyDescent="0.25">
      <c r="A57" s="365"/>
      <c r="B57" s="74" t="s">
        <v>794</v>
      </c>
      <c r="C57" s="75">
        <f t="shared" si="27"/>
        <v>33163732.469999999</v>
      </c>
      <c r="D57" s="76">
        <f>SUM(D45:D56)</f>
        <v>33163732.470000003</v>
      </c>
      <c r="E57" s="76">
        <f t="shared" ref="E57:V57" si="35">SUM(E45:E56)</f>
        <v>16111799.449999999</v>
      </c>
      <c r="F57" s="76">
        <f t="shared" si="35"/>
        <v>2610930.63</v>
      </c>
      <c r="G57" s="76">
        <f t="shared" si="35"/>
        <v>3398288.51</v>
      </c>
      <c r="H57" s="76">
        <f t="shared" si="35"/>
        <v>507983.61000000004</v>
      </c>
      <c r="I57" s="76">
        <f t="shared" si="35"/>
        <v>1034656.42</v>
      </c>
      <c r="J57" s="76">
        <f t="shared" si="35"/>
        <v>8559940.2800000012</v>
      </c>
      <c r="K57" s="76">
        <f t="shared" si="35"/>
        <v>12830618.629999999</v>
      </c>
      <c r="L57" s="76">
        <f t="shared" si="35"/>
        <v>10852008.559999999</v>
      </c>
      <c r="M57" s="76">
        <f t="shared" si="35"/>
        <v>639480.73</v>
      </c>
      <c r="N57" s="76">
        <f t="shared" si="35"/>
        <v>157114.36999999997</v>
      </c>
      <c r="O57" s="76">
        <f t="shared" si="35"/>
        <v>0</v>
      </c>
      <c r="P57" s="76">
        <f t="shared" si="35"/>
        <v>1182014.9699999997</v>
      </c>
      <c r="Q57" s="76">
        <f t="shared" si="35"/>
        <v>4221314.3900000006</v>
      </c>
      <c r="R57" s="76">
        <f t="shared" si="35"/>
        <v>3181257.47</v>
      </c>
      <c r="S57" s="76">
        <f t="shared" si="35"/>
        <v>389205.41</v>
      </c>
      <c r="T57" s="76">
        <f t="shared" si="35"/>
        <v>132346.51</v>
      </c>
      <c r="U57" s="76">
        <f t="shared" si="35"/>
        <v>145050</v>
      </c>
      <c r="V57" s="76">
        <f t="shared" si="35"/>
        <v>373455</v>
      </c>
    </row>
    <row r="58" spans="1:22" x14ac:dyDescent="0.25">
      <c r="A58" s="313"/>
      <c r="B58" s="314"/>
      <c r="C58" s="315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</row>
    <row r="59" spans="1:22" x14ac:dyDescent="0.25">
      <c r="A59" s="313"/>
      <c r="B59" s="314"/>
      <c r="C59" s="315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</row>
    <row r="60" spans="1:22" x14ac:dyDescent="0.25">
      <c r="A60" s="313"/>
      <c r="B60" s="314"/>
      <c r="C60" s="315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</row>
    <row r="61" spans="1:22" x14ac:dyDescent="0.25">
      <c r="A61" s="313"/>
      <c r="B61" s="314"/>
      <c r="C61" s="315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</row>
    <row r="62" spans="1:22" x14ac:dyDescent="0.25">
      <c r="A62" s="313"/>
      <c r="B62" s="314"/>
      <c r="C62" s="315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</row>
    <row r="63" spans="1:22" x14ac:dyDescent="0.25">
      <c r="A63" s="313"/>
      <c r="B63" s="314"/>
      <c r="C63" s="315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</row>
    <row r="64" spans="1:22" x14ac:dyDescent="0.25">
      <c r="A64" s="313"/>
      <c r="B64" s="314"/>
      <c r="C64" s="315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</row>
    <row r="65" spans="1:22" x14ac:dyDescent="0.25">
      <c r="A65" s="313"/>
      <c r="B65" s="314"/>
      <c r="C65" s="315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</row>
    <row r="66" spans="1:22" x14ac:dyDescent="0.25">
      <c r="A66" s="313"/>
      <c r="B66" s="314"/>
      <c r="C66" s="315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</row>
    <row r="68" spans="1:22" x14ac:dyDescent="0.25">
      <c r="H68" s="78"/>
    </row>
    <row r="70" spans="1:22" x14ac:dyDescent="0.25">
      <c r="H70" s="158"/>
    </row>
    <row r="72" spans="1:22" x14ac:dyDescent="0.25">
      <c r="H72" s="158"/>
    </row>
  </sheetData>
  <mergeCells count="9">
    <mergeCell ref="D1:D2"/>
    <mergeCell ref="B3:B5"/>
    <mergeCell ref="A3:A5"/>
    <mergeCell ref="Q4:Q5"/>
    <mergeCell ref="K4:K5"/>
    <mergeCell ref="A45:A57"/>
    <mergeCell ref="A6:A18"/>
    <mergeCell ref="A32:A44"/>
    <mergeCell ref="A19:A31"/>
  </mergeCells>
  <phoneticPr fontId="54" type="noConversion"/>
  <pageMargins left="0.25" right="0.25" top="0.75" bottom="0.75" header="0.3" footer="0.3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257175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29"/>
  <sheetViews>
    <sheetView view="pageBreakPreview" zoomScale="80" zoomScaleNormal="80" zoomScaleSheetLayoutView="80" workbookViewId="0">
      <pane xSplit="2" ySplit="3" topLeftCell="C46" activePane="bottomRight" state="frozen"/>
      <selection pane="topRight" activeCell="C1" sqref="C1"/>
      <selection pane="bottomLeft" activeCell="A9" sqref="A9"/>
      <selection pane="bottomRight" activeCell="O58" sqref="O58:P66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15.140625" style="1" customWidth="1"/>
    <col min="6" max="6" width="13.28515625" style="1" customWidth="1"/>
    <col min="7" max="7" width="11.5703125" customWidth="1"/>
    <col min="8" max="8" width="12.140625" customWidth="1"/>
    <col min="9" max="9" width="14.85546875" customWidth="1"/>
    <col min="10" max="10" width="14.28515625" bestFit="1" customWidth="1"/>
    <col min="11" max="11" width="12.85546875" customWidth="1"/>
    <col min="12" max="12" width="13.5703125" customWidth="1"/>
    <col min="13" max="13" width="14" customWidth="1"/>
    <col min="14" max="14" width="9.28515625" hidden="1" customWidth="1"/>
    <col min="15" max="15" width="19.7109375" customWidth="1"/>
    <col min="16" max="16" width="32.5703125" customWidth="1"/>
    <col min="17" max="17" width="14" customWidth="1"/>
    <col min="18" max="18" width="13.42578125" customWidth="1"/>
  </cols>
  <sheetData>
    <row r="1" spans="1:18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8" s="2" customFormat="1" ht="17.25" customHeight="1" x14ac:dyDescent="0.25">
      <c r="A2" s="79" t="s">
        <v>876</v>
      </c>
      <c r="E2" s="3"/>
      <c r="F2" s="3"/>
    </row>
    <row r="3" spans="1:18" s="1" customFormat="1" ht="139.5" customHeight="1" x14ac:dyDescent="0.35">
      <c r="A3" s="304" t="str">
        <f>IF(L!$A$1=1,L!G8,IF(L!$A$1=2,L!G18,L!G28))</f>
        <v>Viti</v>
      </c>
      <c r="B3" s="304" t="str">
        <f>IF(L!$A$1=1,L!H8,IF(L!$A$1=2,L!H18,L!H28))</f>
        <v>Viti / Muaji</v>
      </c>
      <c r="C3" s="305" t="str">
        <f>IF(L!$A$1=1,L!I8,IF(L!$A$1=2,L!I18,L!I28))</f>
        <v>Gjithsej Pranimet</v>
      </c>
      <c r="D3" s="306" t="str">
        <f>IF(L!$A$1=1,L!O8,IF(L!$A$1=2,L!O18,L!O28))</f>
        <v xml:space="preserve">Tatimi në pronë </v>
      </c>
      <c r="E3" s="307" t="s">
        <v>870</v>
      </c>
      <c r="F3" s="308" t="s">
        <v>873</v>
      </c>
      <c r="G3" s="306" t="s">
        <v>871</v>
      </c>
      <c r="H3" s="306" t="s">
        <v>878</v>
      </c>
      <c r="I3" s="306" t="s">
        <v>872</v>
      </c>
      <c r="J3" s="306" t="s">
        <v>874</v>
      </c>
      <c r="K3" s="306" t="s">
        <v>875</v>
      </c>
      <c r="L3" s="306" t="s">
        <v>879</v>
      </c>
      <c r="M3" s="306" t="s">
        <v>877</v>
      </c>
      <c r="N3" s="309"/>
    </row>
    <row r="4" spans="1:18" s="1" customFormat="1" ht="15" customHeight="1" x14ac:dyDescent="0.25">
      <c r="A4" s="180"/>
      <c r="B4" s="180"/>
      <c r="C4" s="181"/>
      <c r="D4" s="182"/>
      <c r="E4" s="183"/>
      <c r="F4" s="184"/>
      <c r="G4" s="54"/>
      <c r="H4" s="182"/>
      <c r="I4" s="54"/>
      <c r="J4" s="182"/>
      <c r="K4" s="182"/>
      <c r="L4" s="182"/>
      <c r="M4" s="182"/>
    </row>
    <row r="5" spans="1:18" s="2" customFormat="1" ht="16.5" x14ac:dyDescent="0.3">
      <c r="A5" s="157"/>
      <c r="B5" s="4" t="str">
        <f>IF(L!$A$1=1,L!B218,IF(L!$A$1=2,L!C218,L!D218))</f>
        <v>2022 Janar</v>
      </c>
      <c r="C5" s="119">
        <f>SUM(D5:M5)</f>
        <v>294832.80000000005</v>
      </c>
      <c r="D5" s="187">
        <v>96301.78</v>
      </c>
      <c r="E5" s="188">
        <v>84210.06</v>
      </c>
      <c r="F5" s="119"/>
      <c r="G5" s="160">
        <v>7305.5</v>
      </c>
      <c r="H5" s="120"/>
      <c r="I5" s="161">
        <v>15340</v>
      </c>
      <c r="J5" s="127">
        <v>2884.5</v>
      </c>
      <c r="K5" s="189">
        <v>40312.980000000003</v>
      </c>
      <c r="L5" s="122">
        <v>3274.98</v>
      </c>
      <c r="M5" s="119">
        <v>45203</v>
      </c>
    </row>
    <row r="6" spans="1:18" s="2" customFormat="1" ht="18.95" customHeight="1" x14ac:dyDescent="0.3">
      <c r="B6" s="4" t="str">
        <f>IF(L!$A$1=1,L!B219,IF(L!$A$1=2,L!C219,L!D219))</f>
        <v>2022 Shkurt</v>
      </c>
      <c r="C6" s="119">
        <f>SUM(D6:M6)</f>
        <v>381930.99</v>
      </c>
      <c r="D6" s="95">
        <v>198396.12</v>
      </c>
      <c r="E6" s="96">
        <v>48004.37</v>
      </c>
      <c r="F6" s="119">
        <v>2018</v>
      </c>
      <c r="G6" s="160">
        <v>16114.5</v>
      </c>
      <c r="H6" s="120"/>
      <c r="I6" s="161">
        <v>17300</v>
      </c>
      <c r="J6" s="127">
        <v>12949</v>
      </c>
      <c r="K6" s="190">
        <v>5290</v>
      </c>
      <c r="L6" s="122"/>
      <c r="M6" s="119">
        <v>81859</v>
      </c>
    </row>
    <row r="7" spans="1:18" s="2" customFormat="1" ht="18.95" customHeight="1" x14ac:dyDescent="0.3">
      <c r="B7" s="4" t="str">
        <f>IF(L!$A$1=1,L!B220,IF(L!$A$1=2,L!C220,L!D220))</f>
        <v xml:space="preserve">2022 Mars </v>
      </c>
      <c r="C7" s="123">
        <f>SUM(D7:M7)</f>
        <v>685059.16999999993</v>
      </c>
      <c r="D7" s="99">
        <v>215238.09</v>
      </c>
      <c r="E7" s="100">
        <v>93625.25</v>
      </c>
      <c r="F7" s="193">
        <v>3699.2</v>
      </c>
      <c r="G7" s="175">
        <v>14917.83</v>
      </c>
      <c r="H7" s="124">
        <f>16400+236671.8</f>
        <v>253071.8</v>
      </c>
      <c r="I7" s="191">
        <v>17710</v>
      </c>
      <c r="J7" s="192">
        <v>7786</v>
      </c>
      <c r="K7" s="125">
        <v>6301</v>
      </c>
      <c r="L7" s="223">
        <v>11160</v>
      </c>
      <c r="M7" s="119">
        <f>50390+11160</f>
        <v>61550</v>
      </c>
      <c r="O7" s="112"/>
    </row>
    <row r="8" spans="1:18" s="2" customFormat="1" ht="18.95" customHeight="1" x14ac:dyDescent="0.3">
      <c r="B8" s="4" t="str">
        <f>IF(L!$A$1=1,L!B221,IF(L!$A$1=2,L!C221,L!D221))</f>
        <v>2022 Prill</v>
      </c>
      <c r="C8" s="126">
        <f t="shared" ref="C8:C16" si="0">SUM(D8:M8)</f>
        <v>454678.58</v>
      </c>
      <c r="D8" s="194">
        <v>227811.08</v>
      </c>
      <c r="E8" s="96">
        <v>123589.3</v>
      </c>
      <c r="F8" s="195">
        <v>2642.2</v>
      </c>
      <c r="G8" s="97">
        <v>13092</v>
      </c>
      <c r="H8" s="97"/>
      <c r="I8" s="195">
        <v>14440</v>
      </c>
      <c r="J8" s="195">
        <v>10597</v>
      </c>
      <c r="K8" s="224">
        <v>8612</v>
      </c>
      <c r="L8" s="112"/>
      <c r="M8" s="119">
        <v>53895</v>
      </c>
    </row>
    <row r="9" spans="1:18" s="2" customFormat="1" ht="18.95" customHeight="1" x14ac:dyDescent="0.3">
      <c r="B9" s="4" t="str">
        <f>IF(L!$A$1=1,L!B222,IF(L!$A$1=2,L!C222,L!D222))</f>
        <v>2022 Maj</v>
      </c>
      <c r="C9" s="126">
        <f t="shared" si="0"/>
        <v>454201.24</v>
      </c>
      <c r="D9" s="225">
        <v>178185.3</v>
      </c>
      <c r="E9" s="127">
        <v>26557.02</v>
      </c>
      <c r="F9" s="119">
        <v>6569.8</v>
      </c>
      <c r="G9" s="97">
        <v>14445</v>
      </c>
      <c r="H9" s="176"/>
      <c r="I9" s="129">
        <v>17970</v>
      </c>
      <c r="J9" s="121">
        <v>5101.5</v>
      </c>
      <c r="K9" s="226">
        <v>18024</v>
      </c>
      <c r="L9" s="223">
        <v>2832.12</v>
      </c>
      <c r="M9" s="119">
        <v>184516.5</v>
      </c>
      <c r="N9" s="118"/>
      <c r="O9" s="217"/>
      <c r="P9" s="218"/>
      <c r="Q9" s="219"/>
      <c r="R9" s="219"/>
    </row>
    <row r="10" spans="1:18" s="118" customFormat="1" ht="18.95" customHeight="1" x14ac:dyDescent="0.3">
      <c r="A10" s="2"/>
      <c r="B10" s="117" t="str">
        <f>IF(L!$A$1=1,L!B223,IF(L!$A$1=2,L!C223,L!D223))</f>
        <v>2022 Qershor</v>
      </c>
      <c r="C10" s="122">
        <f t="shared" si="0"/>
        <v>654136.63</v>
      </c>
      <c r="D10" s="194">
        <v>156254.29999999999</v>
      </c>
      <c r="E10" s="96">
        <v>112221.06</v>
      </c>
      <c r="F10" s="122">
        <v>5114.8</v>
      </c>
      <c r="G10" s="97">
        <v>14347.27</v>
      </c>
      <c r="H10" s="176">
        <f>230967.2+20685</f>
        <v>251652.2</v>
      </c>
      <c r="I10" s="97">
        <v>24500</v>
      </c>
      <c r="J10" s="215">
        <v>6966</v>
      </c>
      <c r="K10" s="216">
        <v>18838</v>
      </c>
      <c r="L10" s="122"/>
      <c r="M10" s="122">
        <v>64243</v>
      </c>
      <c r="N10" s="2"/>
      <c r="O10" s="2"/>
      <c r="P10" s="2"/>
      <c r="Q10" s="220"/>
      <c r="R10" s="221"/>
    </row>
    <row r="11" spans="1:18" s="2" customFormat="1" ht="18.95" customHeight="1" x14ac:dyDescent="0.3">
      <c r="A11" s="2">
        <v>2022</v>
      </c>
      <c r="B11" s="4" t="str">
        <f>IF(L!$A$1=1,L!B224,IF(L!$A$1=2,L!C224,L!D224))</f>
        <v>2022 Korrik</v>
      </c>
      <c r="C11" s="119">
        <f t="shared" si="0"/>
        <v>599259.66</v>
      </c>
      <c r="D11" s="225">
        <v>261988.81</v>
      </c>
      <c r="E11" s="96">
        <v>102178.47</v>
      </c>
      <c r="F11" s="119">
        <v>14621.8</v>
      </c>
      <c r="G11" s="97">
        <v>15265</v>
      </c>
      <c r="H11" s="177"/>
      <c r="I11" s="97">
        <v>23120</v>
      </c>
      <c r="J11" s="98">
        <v>8983</v>
      </c>
      <c r="K11" s="122">
        <v>1642</v>
      </c>
      <c r="L11" s="122">
        <v>108124.58</v>
      </c>
      <c r="M11" s="122">
        <f>64243-907</f>
        <v>63336</v>
      </c>
      <c r="P11" s="112"/>
    </row>
    <row r="12" spans="1:18" s="2" customFormat="1" ht="18.95" customHeight="1" x14ac:dyDescent="0.3">
      <c r="B12" s="4" t="str">
        <f>IF(L!$A$1=1,L!B225,IF(L!$A$1=2,L!C225,L!D225))</f>
        <v>2022 Gusht</v>
      </c>
      <c r="C12" s="119">
        <f t="shared" si="0"/>
        <v>480900.04</v>
      </c>
      <c r="D12" s="194">
        <v>311945.67</v>
      </c>
      <c r="E12" s="96">
        <v>11805.869999999999</v>
      </c>
      <c r="F12" s="195">
        <v>2097</v>
      </c>
      <c r="G12" s="97">
        <v>20709</v>
      </c>
      <c r="H12" s="127"/>
      <c r="I12" s="129">
        <v>24700</v>
      </c>
      <c r="J12" s="98">
        <v>13146.5</v>
      </c>
      <c r="K12" s="122">
        <v>174</v>
      </c>
      <c r="L12" s="122">
        <v>540</v>
      </c>
      <c r="M12" s="119">
        <v>95782</v>
      </c>
    </row>
    <row r="13" spans="1:18" s="2" customFormat="1" ht="18.95" customHeight="1" x14ac:dyDescent="0.3">
      <c r="B13" s="4" t="str">
        <f>IF(L!$A$1=1,L!B226,IF(L!$A$1=2,L!C226,L!D226))</f>
        <v>2022 Shtator</v>
      </c>
      <c r="C13" s="119">
        <f t="shared" si="0"/>
        <v>701925.79</v>
      </c>
      <c r="D13" s="95">
        <v>159726.47</v>
      </c>
      <c r="E13" s="96">
        <v>26250.09</v>
      </c>
      <c r="F13" s="133">
        <v>3857</v>
      </c>
      <c r="G13" s="97">
        <v>12848</v>
      </c>
      <c r="H13" s="97">
        <f>286922+13268</f>
        <v>300190</v>
      </c>
      <c r="I13" s="129">
        <v>22250</v>
      </c>
      <c r="J13" s="127">
        <v>9201.5</v>
      </c>
      <c r="K13" s="129">
        <v>201</v>
      </c>
      <c r="L13" s="162">
        <v>106127.73</v>
      </c>
      <c r="M13" s="119">
        <v>61274</v>
      </c>
      <c r="O13" s="112"/>
      <c r="P13" s="112"/>
    </row>
    <row r="14" spans="1:18" s="2" customFormat="1" ht="18.95" customHeight="1" x14ac:dyDescent="0.3">
      <c r="B14" s="4" t="str">
        <f>IF(L!$A$1=1,L!B227,IF(L!$A$1=2,L!C227,L!D227))</f>
        <v>2022 Tetor</v>
      </c>
      <c r="C14" s="119">
        <f t="shared" si="0"/>
        <v>352161.36000000004</v>
      </c>
      <c r="D14" s="194">
        <v>196166.74</v>
      </c>
      <c r="E14" s="96">
        <v>31912.639999999999</v>
      </c>
      <c r="F14" s="119">
        <v>692.9</v>
      </c>
      <c r="G14" s="97">
        <v>15440</v>
      </c>
      <c r="H14" s="155"/>
      <c r="I14" s="129">
        <v>20215</v>
      </c>
      <c r="J14" s="98">
        <v>7697.5</v>
      </c>
      <c r="K14" s="128">
        <v>4677</v>
      </c>
      <c r="L14" s="128">
        <v>1328.58</v>
      </c>
      <c r="M14" s="119">
        <v>74031</v>
      </c>
    </row>
    <row r="15" spans="1:18" s="2" customFormat="1" ht="18.95" customHeight="1" x14ac:dyDescent="0.3">
      <c r="B15" s="4" t="str">
        <f>IF(L!$A$1=1,L!B228,IF(L!$A$1=2,L!C228,L!D228))</f>
        <v xml:space="preserve">2022 Nëntor </v>
      </c>
      <c r="C15" s="169">
        <f t="shared" si="0"/>
        <v>215026.94</v>
      </c>
      <c r="D15" s="227">
        <v>91354.75</v>
      </c>
      <c r="E15" s="228">
        <v>12095.69</v>
      </c>
      <c r="F15" s="227">
        <v>3661</v>
      </c>
      <c r="G15" s="97">
        <v>14547</v>
      </c>
      <c r="H15" s="170"/>
      <c r="I15" s="97">
        <v>20115</v>
      </c>
      <c r="J15" s="98">
        <v>7416.5</v>
      </c>
      <c r="K15" s="178">
        <v>8618</v>
      </c>
      <c r="L15" s="83"/>
      <c r="M15" s="169">
        <v>57219</v>
      </c>
      <c r="P15" s="112"/>
    </row>
    <row r="16" spans="1:18" s="2" customFormat="1" ht="18.95" customHeight="1" x14ac:dyDescent="0.25">
      <c r="B16" s="4" t="str">
        <f>IF(L!$A$1=1,L!B229,IF(L!$A$1=2,L!C229,L!D229))</f>
        <v>2022 Dhjetor</v>
      </c>
      <c r="C16" s="171">
        <f t="shared" si="0"/>
        <v>748877.51</v>
      </c>
      <c r="D16" s="102">
        <v>261135.13</v>
      </c>
      <c r="E16" s="171">
        <v>105756.18</v>
      </c>
      <c r="F16" s="171">
        <v>12184.2</v>
      </c>
      <c r="G16" s="179">
        <v>15047</v>
      </c>
      <c r="H16" s="171">
        <f>211577+17245</f>
        <v>228822</v>
      </c>
      <c r="I16" s="171">
        <v>21845</v>
      </c>
      <c r="J16" s="230">
        <v>12136</v>
      </c>
      <c r="K16" s="171">
        <v>9913</v>
      </c>
      <c r="L16" s="171">
        <v>2402</v>
      </c>
      <c r="M16" s="171">
        <v>79637</v>
      </c>
    </row>
    <row r="17" spans="1:16" s="2" customFormat="1" ht="18.95" customHeight="1" x14ac:dyDescent="0.25">
      <c r="B17" s="185" t="str">
        <f>IF(L!$A$1=1,L!B230,IF(L!$A$1=2,L!C230,L!D230))</f>
        <v>Gjithsej 2022</v>
      </c>
      <c r="C17" s="186">
        <f>SUM(C5:C16)</f>
        <v>6022990.7100000009</v>
      </c>
      <c r="D17" s="186">
        <f t="shared" ref="D17:L17" si="1">SUM(D5:D16)</f>
        <v>2354504.2399999998</v>
      </c>
      <c r="E17" s="186">
        <f t="shared" si="1"/>
        <v>778206</v>
      </c>
      <c r="F17" s="186">
        <f t="shared" si="1"/>
        <v>57157.900000000009</v>
      </c>
      <c r="G17" s="186">
        <f t="shared" si="1"/>
        <v>174078.1</v>
      </c>
      <c r="H17" s="186">
        <f t="shared" si="1"/>
        <v>1033736</v>
      </c>
      <c r="I17" s="186">
        <f t="shared" si="1"/>
        <v>239505</v>
      </c>
      <c r="J17" s="186">
        <f t="shared" si="1"/>
        <v>104865</v>
      </c>
      <c r="K17" s="186">
        <f t="shared" si="1"/>
        <v>122602.98000000001</v>
      </c>
      <c r="L17" s="186">
        <f t="shared" si="1"/>
        <v>235789.98999999996</v>
      </c>
      <c r="M17" s="186">
        <f>SUM(M5:M16)</f>
        <v>922545.5</v>
      </c>
      <c r="O17" s="112"/>
    </row>
    <row r="18" spans="1:16" s="2" customFormat="1" ht="16.5" x14ac:dyDescent="0.3">
      <c r="A18" s="373">
        <v>2023</v>
      </c>
      <c r="B18" s="4" t="str">
        <f>IF(L!$A$1=1,L!B231,IF(L!$A$1=2,L!C231,L!D231))</f>
        <v>2023 Janar</v>
      </c>
      <c r="C18" s="119">
        <f>SUM(D18:M18)</f>
        <v>383842.11</v>
      </c>
      <c r="D18" s="95">
        <v>143980.53</v>
      </c>
      <c r="E18" s="96">
        <v>12039.71</v>
      </c>
      <c r="F18" s="119">
        <v>23304</v>
      </c>
      <c r="G18" s="130">
        <v>11948</v>
      </c>
      <c r="H18" s="120"/>
      <c r="I18" s="131">
        <v>17285</v>
      </c>
      <c r="J18" s="121">
        <v>5787</v>
      </c>
      <c r="K18" s="122">
        <v>43606</v>
      </c>
      <c r="L18" s="122">
        <v>1509.87</v>
      </c>
      <c r="M18" s="119">
        <f>142307-17285-640</f>
        <v>124382</v>
      </c>
      <c r="N18" s="112"/>
    </row>
    <row r="19" spans="1:16" s="2" customFormat="1" ht="16.5" x14ac:dyDescent="0.3">
      <c r="A19" s="373"/>
      <c r="B19" s="4" t="str">
        <f>IF(L!$A$1=1,L!B232,IF(L!$A$1=2,L!C232,L!D232))</f>
        <v>2023 Shkurt</v>
      </c>
      <c r="C19" s="123">
        <f>SUM(D19:M19)</f>
        <v>583569.27</v>
      </c>
      <c r="D19" s="99">
        <v>152022.98000000001</v>
      </c>
      <c r="E19" s="100">
        <v>56784.21</v>
      </c>
      <c r="F19" s="123">
        <v>822</v>
      </c>
      <c r="G19" s="101">
        <v>11903</v>
      </c>
      <c r="H19" s="124"/>
      <c r="I19" s="101">
        <v>17355</v>
      </c>
      <c r="J19" s="166">
        <v>8986</v>
      </c>
      <c r="K19" s="125">
        <v>7396</v>
      </c>
      <c r="L19" s="125">
        <f>1006.58+2358+155524.5</f>
        <v>158889.07999999999</v>
      </c>
      <c r="M19" s="119">
        <v>169411</v>
      </c>
      <c r="N19" s="112"/>
    </row>
    <row r="20" spans="1:16" s="2" customFormat="1" ht="16.5" x14ac:dyDescent="0.3">
      <c r="A20" s="373"/>
      <c r="B20" s="4" t="str">
        <f>IF(L!$A$1=1,L!B233,IF(L!$A$1=2,L!C233,L!D233))</f>
        <v xml:space="preserve">2023 Mars </v>
      </c>
      <c r="C20" s="126">
        <f t="shared" ref="C20:C30" si="2">SUM(D20:M20)</f>
        <v>861043.16</v>
      </c>
      <c r="D20" s="127">
        <v>214342.43</v>
      </c>
      <c r="E20" s="232">
        <v>138490.56</v>
      </c>
      <c r="F20" s="119">
        <v>1674</v>
      </c>
      <c r="G20" s="97">
        <v>14614</v>
      </c>
      <c r="H20" s="97">
        <f>216452+17605</f>
        <v>234057</v>
      </c>
      <c r="I20" s="132">
        <v>21835</v>
      </c>
      <c r="J20" s="231">
        <v>9414</v>
      </c>
      <c r="K20" s="231">
        <v>8327</v>
      </c>
      <c r="L20" s="233">
        <v>145607.17000000001</v>
      </c>
      <c r="M20" s="119">
        <v>72682</v>
      </c>
      <c r="N20" s="112"/>
    </row>
    <row r="21" spans="1:16" s="2" customFormat="1" ht="16.5" x14ac:dyDescent="0.3">
      <c r="A21" s="373"/>
      <c r="B21" s="4" t="str">
        <f>IF(L!$A$1=1,L!B234,IF(L!$A$1=2,L!C234,L!D234))</f>
        <v>2023 Prill</v>
      </c>
      <c r="C21" s="126">
        <f t="shared" si="2"/>
        <v>652276.07999999996</v>
      </c>
      <c r="D21" s="165">
        <v>466021.41</v>
      </c>
      <c r="E21" s="121">
        <v>72044.47</v>
      </c>
      <c r="F21" s="119">
        <v>3866.38</v>
      </c>
      <c r="G21" s="97">
        <v>10346</v>
      </c>
      <c r="H21" s="167"/>
      <c r="I21" s="132">
        <v>15500</v>
      </c>
      <c r="J21" s="195">
        <v>7481.5</v>
      </c>
      <c r="K21" s="128">
        <v>8139</v>
      </c>
      <c r="L21" s="128">
        <v>3696.72</v>
      </c>
      <c r="M21" s="119">
        <v>65180.6</v>
      </c>
      <c r="N21" s="112"/>
    </row>
    <row r="22" spans="1:16" s="118" customFormat="1" ht="16.5" x14ac:dyDescent="0.3">
      <c r="A22" s="373"/>
      <c r="B22" s="117" t="str">
        <f>IF(L!$A$1=1,L!B235,IF(L!$A$1=2,L!C235,L!D235))</f>
        <v>2023 Maj</v>
      </c>
      <c r="C22" s="122">
        <f t="shared" si="2"/>
        <v>684147.41</v>
      </c>
      <c r="D22" s="121">
        <v>484199.7</v>
      </c>
      <c r="E22" s="96">
        <v>64778.11</v>
      </c>
      <c r="F22" s="122">
        <v>6765.1</v>
      </c>
      <c r="G22" s="234">
        <v>16017.5</v>
      </c>
      <c r="H22" s="167"/>
      <c r="I22" s="97">
        <v>20060</v>
      </c>
      <c r="J22" s="98">
        <v>9085</v>
      </c>
      <c r="K22" s="122">
        <v>17816</v>
      </c>
      <c r="L22" s="122"/>
      <c r="M22" s="122">
        <v>65426</v>
      </c>
      <c r="N22" s="112"/>
    </row>
    <row r="23" spans="1:16" s="2" customFormat="1" ht="16.5" x14ac:dyDescent="0.3">
      <c r="A23" s="373"/>
      <c r="B23" s="4" t="str">
        <f>IF(L!$A$1=1,L!B236,IF(L!$A$1=2,L!C236,L!D236))</f>
        <v>2023 Qershor</v>
      </c>
      <c r="C23" s="119">
        <f t="shared" si="2"/>
        <v>380531.57999999996</v>
      </c>
      <c r="D23" s="165">
        <v>109813.72</v>
      </c>
      <c r="E23" s="96">
        <v>22748.81</v>
      </c>
      <c r="F23" s="119">
        <v>146</v>
      </c>
      <c r="G23" s="237">
        <v>13809</v>
      </c>
      <c r="H23" s="168"/>
      <c r="I23" s="194">
        <v>23520</v>
      </c>
      <c r="J23" s="98">
        <v>6725.5</v>
      </c>
      <c r="K23" s="235">
        <v>20839</v>
      </c>
      <c r="L23" s="236">
        <v>7859.55</v>
      </c>
      <c r="M23" s="119">
        <v>175070</v>
      </c>
      <c r="N23" s="112"/>
      <c r="O23" s="112"/>
    </row>
    <row r="24" spans="1:16" s="2" customFormat="1" ht="16.5" x14ac:dyDescent="0.3">
      <c r="A24" s="373"/>
      <c r="B24" s="4" t="str">
        <f>IF(L!$A$1=1,L!B237,IF(L!$A$1=2,L!C237,L!D237))</f>
        <v>2023 Korrik</v>
      </c>
      <c r="C24" s="154">
        <f t="shared" si="2"/>
        <v>539077.85</v>
      </c>
      <c r="D24" s="240">
        <v>176202.43</v>
      </c>
      <c r="E24" s="96">
        <v>13709.06</v>
      </c>
      <c r="F24" s="119">
        <v>9167.2999999999993</v>
      </c>
      <c r="G24" s="97">
        <v>14706</v>
      </c>
      <c r="H24" s="127">
        <v>203039</v>
      </c>
      <c r="I24" s="129">
        <v>25995</v>
      </c>
      <c r="J24" s="98">
        <v>7239.5</v>
      </c>
      <c r="K24" s="122">
        <v>3199</v>
      </c>
      <c r="L24" s="122">
        <f>4517+1642.08</f>
        <v>6159.08</v>
      </c>
      <c r="M24" s="119">
        <f>85820.48-6159</f>
        <v>79661.48</v>
      </c>
      <c r="N24" s="112"/>
      <c r="O24" s="112"/>
    </row>
    <row r="25" spans="1:16" s="2" customFormat="1" ht="16.5" x14ac:dyDescent="0.3">
      <c r="A25" s="373"/>
      <c r="B25" s="4" t="str">
        <f>IF(L!$A$1=1,L!B238,IF(L!$A$1=2,L!C238,L!D238))</f>
        <v>2023 Gusht</v>
      </c>
      <c r="C25" s="154">
        <f t="shared" si="2"/>
        <v>436454.02</v>
      </c>
      <c r="D25" s="194">
        <v>257000.42</v>
      </c>
      <c r="E25" s="232">
        <v>14895.08</v>
      </c>
      <c r="F25" s="119">
        <v>7955</v>
      </c>
      <c r="G25" s="97">
        <v>20347</v>
      </c>
      <c r="H25" s="97"/>
      <c r="I25" s="132">
        <v>27340</v>
      </c>
      <c r="J25" s="121">
        <v>12097.5</v>
      </c>
      <c r="K25" s="132">
        <v>1630</v>
      </c>
      <c r="L25" s="159">
        <f>33600+82.11</f>
        <v>33682.11</v>
      </c>
      <c r="M25" s="119">
        <v>61506.91</v>
      </c>
      <c r="N25" s="112"/>
      <c r="P25" s="114"/>
    </row>
    <row r="26" spans="1:16" s="2" customFormat="1" ht="16.5" x14ac:dyDescent="0.3">
      <c r="A26" s="373"/>
      <c r="B26" s="4" t="str">
        <f>IF(L!$A$1=1,L!B239,IF(L!$A$1=2,L!C239,L!D239))</f>
        <v>2023 Shtator</v>
      </c>
      <c r="C26" s="119">
        <f t="shared" si="2"/>
        <v>419095.42</v>
      </c>
      <c r="D26" s="165">
        <v>224138.28</v>
      </c>
      <c r="E26" s="96">
        <v>79956.84</v>
      </c>
      <c r="F26" s="119">
        <v>1325.8</v>
      </c>
      <c r="G26" s="97">
        <v>15669</v>
      </c>
      <c r="H26" s="155"/>
      <c r="I26" s="129">
        <v>24595</v>
      </c>
      <c r="J26" s="98">
        <v>8293.5</v>
      </c>
      <c r="K26" s="128">
        <v>6922</v>
      </c>
      <c r="L26" s="128"/>
      <c r="M26" s="119">
        <v>58195</v>
      </c>
      <c r="N26" s="112"/>
      <c r="O26" s="112"/>
    </row>
    <row r="27" spans="1:16" s="2" customFormat="1" ht="16.5" x14ac:dyDescent="0.3">
      <c r="A27" s="373"/>
      <c r="B27" s="4" t="str">
        <f>IF(L!$A$1=1,L!B240,IF(L!$A$1=2,L!C240,L!D240))</f>
        <v>2023 Tetor</v>
      </c>
      <c r="C27" s="169">
        <f t="shared" si="2"/>
        <v>684201.33</v>
      </c>
      <c r="D27" s="102">
        <v>203914.93</v>
      </c>
      <c r="E27" s="96">
        <v>50912.2</v>
      </c>
      <c r="F27" s="169">
        <v>3451.5</v>
      </c>
      <c r="G27" s="97">
        <v>12553</v>
      </c>
      <c r="H27" s="170">
        <f>13440+256070</f>
        <v>269510</v>
      </c>
      <c r="I27" s="97">
        <v>25465</v>
      </c>
      <c r="J27" s="98">
        <v>9991.5</v>
      </c>
      <c r="K27" s="83">
        <v>10558</v>
      </c>
      <c r="L27" s="83">
        <v>39612.199999999997</v>
      </c>
      <c r="M27" s="169">
        <v>58233</v>
      </c>
      <c r="N27" s="112"/>
      <c r="P27" s="112"/>
    </row>
    <row r="28" spans="1:16" s="2" customFormat="1" ht="15.75" thickBot="1" x14ac:dyDescent="0.3">
      <c r="A28" s="373"/>
      <c r="B28" s="4" t="str">
        <f>IF(L!$A$1=1,L!B241,IF(L!$A$1=2,L!C241,L!D241))</f>
        <v xml:space="preserve">2023 Nëntor </v>
      </c>
      <c r="C28" s="171">
        <f t="shared" si="2"/>
        <v>247804.3</v>
      </c>
      <c r="D28" s="102">
        <v>110748.67</v>
      </c>
      <c r="E28" s="243">
        <v>17918.84</v>
      </c>
      <c r="F28" s="171">
        <v>2061.1</v>
      </c>
      <c r="G28" s="171">
        <v>25806</v>
      </c>
      <c r="H28" s="171"/>
      <c r="I28" s="171">
        <v>21370</v>
      </c>
      <c r="J28" s="171">
        <v>9575.5</v>
      </c>
      <c r="K28" s="171">
        <v>8431</v>
      </c>
      <c r="L28" s="171">
        <v>1724.19</v>
      </c>
      <c r="M28" s="171">
        <v>50169</v>
      </c>
      <c r="N28" s="112"/>
      <c r="P28" s="112"/>
    </row>
    <row r="29" spans="1:16" s="2" customFormat="1" ht="21.75" customHeight="1" thickBot="1" x14ac:dyDescent="0.35">
      <c r="A29" s="373"/>
      <c r="B29" s="4" t="str">
        <f>IF(L!$A$1=1,L!B242,IF(L!$A$1=2,L!C242,L!D242))</f>
        <v>2023 Dhjetor</v>
      </c>
      <c r="C29" s="171">
        <f t="shared" si="2"/>
        <v>560136.59000000008</v>
      </c>
      <c r="D29" s="102">
        <v>218620.89</v>
      </c>
      <c r="E29" s="243">
        <v>80281.509999999995</v>
      </c>
      <c r="F29" s="242">
        <v>45097.36</v>
      </c>
      <c r="G29" s="171">
        <v>-712.8</v>
      </c>
      <c r="H29" s="171"/>
      <c r="I29" s="171">
        <v>21940</v>
      </c>
      <c r="J29" s="172">
        <v>12248</v>
      </c>
      <c r="K29" s="173">
        <v>9597</v>
      </c>
      <c r="L29" s="174"/>
      <c r="M29" s="171">
        <v>173064.63</v>
      </c>
      <c r="P29" s="114"/>
    </row>
    <row r="30" spans="1:16" s="2" customFormat="1" x14ac:dyDescent="0.25">
      <c r="A30" s="373"/>
      <c r="B30" s="5" t="str">
        <f>IF(L!$A$1=1,L!B243,IF(L!$A$1=2,L!C243,L!D243))</f>
        <v>Gjithsej 2023</v>
      </c>
      <c r="C30" s="81">
        <f t="shared" si="2"/>
        <v>6432179.1200000001</v>
      </c>
      <c r="D30" s="82">
        <f>SUM(D18:D29)</f>
        <v>2761006.39</v>
      </c>
      <c r="E30" s="82">
        <f>SUM(E18:E29)</f>
        <v>624559.39999999991</v>
      </c>
      <c r="F30" s="82">
        <f>SUM(F18:F29)</f>
        <v>105635.54000000001</v>
      </c>
      <c r="G30" s="82">
        <f t="shared" ref="G30:L30" si="3">SUM(G18:G29)</f>
        <v>167005.70000000001</v>
      </c>
      <c r="H30" s="82">
        <f t="shared" si="3"/>
        <v>706606</v>
      </c>
      <c r="I30" s="82">
        <f t="shared" si="3"/>
        <v>262260</v>
      </c>
      <c r="J30" s="82">
        <f t="shared" si="3"/>
        <v>106924.5</v>
      </c>
      <c r="K30" s="82">
        <f t="shared" si="3"/>
        <v>146460</v>
      </c>
      <c r="L30" s="82">
        <f t="shared" si="3"/>
        <v>398739.97</v>
      </c>
      <c r="M30" s="82">
        <f>SUM(M18:M29)</f>
        <v>1152981.6200000001</v>
      </c>
      <c r="O30" s="112"/>
      <c r="P30" s="114"/>
    </row>
    <row r="31" spans="1:16" s="2" customFormat="1" ht="16.5" x14ac:dyDescent="0.3">
      <c r="A31" s="373">
        <v>2024</v>
      </c>
      <c r="B31" s="4" t="s">
        <v>881</v>
      </c>
      <c r="C31" s="260">
        <f>SUM(D31:M31)</f>
        <v>322865.37</v>
      </c>
      <c r="D31" s="295">
        <v>117550.5</v>
      </c>
      <c r="E31" s="261">
        <v>68061.38</v>
      </c>
      <c r="F31" s="260"/>
      <c r="G31" s="262">
        <v>21850.6</v>
      </c>
      <c r="H31" s="263"/>
      <c r="I31" s="264">
        <v>18110.5</v>
      </c>
      <c r="J31" s="264">
        <v>6305</v>
      </c>
      <c r="K31" s="265">
        <v>40866.199999999997</v>
      </c>
      <c r="L31" s="265">
        <v>10320.19</v>
      </c>
      <c r="M31" s="260">
        <v>39801</v>
      </c>
      <c r="N31" s="112"/>
    </row>
    <row r="32" spans="1:16" s="2" customFormat="1" ht="16.5" x14ac:dyDescent="0.3">
      <c r="A32" s="373"/>
      <c r="B32" s="6" t="s">
        <v>882</v>
      </c>
      <c r="C32" s="268">
        <f>SUM(D32:M32)</f>
        <v>240840.58000000002</v>
      </c>
      <c r="D32" s="296">
        <v>113147.16</v>
      </c>
      <c r="E32" s="269">
        <v>12187.52</v>
      </c>
      <c r="F32" s="268">
        <v>2762.4</v>
      </c>
      <c r="G32" s="270">
        <v>11184.5</v>
      </c>
      <c r="H32" s="271"/>
      <c r="I32" s="270">
        <v>19880</v>
      </c>
      <c r="J32" s="173">
        <v>8885</v>
      </c>
      <c r="K32" s="272">
        <v>12435</v>
      </c>
      <c r="L32" s="272"/>
      <c r="M32" s="268">
        <v>60359</v>
      </c>
      <c r="N32" s="112"/>
    </row>
    <row r="33" spans="1:16" s="2" customFormat="1" ht="16.5" x14ac:dyDescent="0.3">
      <c r="A33" s="373"/>
      <c r="B33" s="6" t="s">
        <v>883</v>
      </c>
      <c r="C33" s="273">
        <f t="shared" ref="C33:C43" si="4">SUM(D33:M33)</f>
        <v>550791.57999999996</v>
      </c>
      <c r="D33" s="297">
        <v>167481.01999999999</v>
      </c>
      <c r="E33" s="232">
        <v>223827.9</v>
      </c>
      <c r="F33" s="268">
        <v>14500.16</v>
      </c>
      <c r="G33" s="270">
        <v>10210</v>
      </c>
      <c r="H33" s="270"/>
      <c r="I33" s="132">
        <v>22135</v>
      </c>
      <c r="J33" s="274">
        <v>7841.5</v>
      </c>
      <c r="K33" s="274">
        <v>10929</v>
      </c>
      <c r="L33" s="275"/>
      <c r="M33" s="268">
        <v>93867</v>
      </c>
      <c r="N33" s="112"/>
    </row>
    <row r="34" spans="1:16" s="2" customFormat="1" ht="16.5" x14ac:dyDescent="0.3">
      <c r="A34" s="373"/>
      <c r="B34" s="6" t="s">
        <v>884</v>
      </c>
      <c r="C34" s="273">
        <f t="shared" si="4"/>
        <v>795539.16</v>
      </c>
      <c r="D34" s="298">
        <v>336722.02</v>
      </c>
      <c r="E34" s="276">
        <v>109405.98999999999</v>
      </c>
      <c r="F34" s="268">
        <v>763.08</v>
      </c>
      <c r="G34" s="269">
        <v>13522.15</v>
      </c>
      <c r="H34" s="284">
        <f>16990+159759</f>
        <v>176749</v>
      </c>
      <c r="I34" s="285">
        <v>21486</v>
      </c>
      <c r="J34" s="194">
        <v>6583.5</v>
      </c>
      <c r="K34" s="278">
        <v>10730</v>
      </c>
      <c r="L34" s="278">
        <v>8690</v>
      </c>
      <c r="M34" s="268">
        <f>110789.8+97.62</f>
        <v>110887.42</v>
      </c>
      <c r="N34" s="112"/>
    </row>
    <row r="35" spans="1:16" s="118" customFormat="1" ht="16.5" x14ac:dyDescent="0.3">
      <c r="A35" s="373"/>
      <c r="B35" s="259" t="s">
        <v>885</v>
      </c>
      <c r="C35" s="272">
        <f t="shared" si="4"/>
        <v>384613.46</v>
      </c>
      <c r="D35" s="299">
        <v>196234.45</v>
      </c>
      <c r="E35" s="269">
        <v>30109.63</v>
      </c>
      <c r="F35" s="272">
        <v>276</v>
      </c>
      <c r="G35" s="277">
        <v>10091</v>
      </c>
      <c r="H35" s="284"/>
      <c r="I35" s="269">
        <v>22685</v>
      </c>
      <c r="J35" s="278">
        <v>9085.5</v>
      </c>
      <c r="K35" s="286">
        <v>14097</v>
      </c>
      <c r="L35" s="286">
        <v>30452.880000000001</v>
      </c>
      <c r="M35" s="272">
        <v>71582</v>
      </c>
      <c r="N35" s="112"/>
      <c r="O35" s="258"/>
      <c r="P35" s="258"/>
    </row>
    <row r="36" spans="1:16" s="2" customFormat="1" ht="16.5" x14ac:dyDescent="0.3">
      <c r="A36" s="373"/>
      <c r="B36" s="6" t="s">
        <v>886</v>
      </c>
      <c r="C36" s="268">
        <f t="shared" si="4"/>
        <v>273949.73</v>
      </c>
      <c r="D36" s="298">
        <v>109146.55</v>
      </c>
      <c r="E36" s="269">
        <v>26723.91</v>
      </c>
      <c r="F36" s="268">
        <v>5778.27</v>
      </c>
      <c r="G36" s="277">
        <v>10447</v>
      </c>
      <c r="H36" s="287"/>
      <c r="I36" s="194">
        <v>23830</v>
      </c>
      <c r="J36" s="278">
        <v>6892</v>
      </c>
      <c r="K36" s="288">
        <v>21466</v>
      </c>
      <c r="L36" s="275"/>
      <c r="M36" s="268">
        <v>69666</v>
      </c>
      <c r="N36" s="112"/>
      <c r="O36" s="112"/>
    </row>
    <row r="37" spans="1:16" s="2" customFormat="1" ht="16.5" x14ac:dyDescent="0.3">
      <c r="A37" s="373"/>
      <c r="B37" s="6" t="s">
        <v>887</v>
      </c>
      <c r="C37" s="279">
        <f t="shared" si="4"/>
        <v>1774284</v>
      </c>
      <c r="D37" s="300">
        <v>141541.19</v>
      </c>
      <c r="E37" s="269">
        <v>341385.62</v>
      </c>
      <c r="F37" s="268"/>
      <c r="G37" s="269">
        <v>12128</v>
      </c>
      <c r="H37" s="289">
        <f>52860+94954+69430+7410+6745+2850</f>
        <v>234249</v>
      </c>
      <c r="I37" s="290">
        <v>31235.5</v>
      </c>
      <c r="J37" s="278">
        <v>10368</v>
      </c>
      <c r="K37" s="286">
        <v>11465</v>
      </c>
      <c r="L37" s="286">
        <v>926953.19000000006</v>
      </c>
      <c r="M37" s="268">
        <f>64959-0.5</f>
        <v>64958.5</v>
      </c>
      <c r="N37" s="112"/>
      <c r="O37" s="112"/>
    </row>
    <row r="38" spans="1:16" s="2" customFormat="1" ht="16.5" x14ac:dyDescent="0.3">
      <c r="A38" s="373"/>
      <c r="B38" s="6" t="s">
        <v>888</v>
      </c>
      <c r="C38" s="279">
        <f t="shared" si="4"/>
        <v>393901.12</v>
      </c>
      <c r="D38" s="301">
        <v>196601.67</v>
      </c>
      <c r="E38" s="232">
        <v>39215.33</v>
      </c>
      <c r="F38" s="268">
        <v>848.75</v>
      </c>
      <c r="G38" s="269">
        <v>19350</v>
      </c>
      <c r="H38" s="269"/>
      <c r="I38" s="285">
        <v>27590</v>
      </c>
      <c r="J38" s="291">
        <v>15256</v>
      </c>
      <c r="K38" s="285">
        <v>1281</v>
      </c>
      <c r="L38" s="285">
        <v>26218.12</v>
      </c>
      <c r="M38" s="268">
        <v>67540.25</v>
      </c>
      <c r="N38" s="112"/>
      <c r="P38" s="114"/>
    </row>
    <row r="39" spans="1:16" s="2" customFormat="1" ht="16.5" x14ac:dyDescent="0.3">
      <c r="A39" s="373"/>
      <c r="B39" s="6" t="s">
        <v>889</v>
      </c>
      <c r="C39" s="268">
        <f t="shared" si="4"/>
        <v>406146.89</v>
      </c>
      <c r="D39" s="298">
        <v>158978.25</v>
      </c>
      <c r="E39" s="269">
        <v>141685.09000000003</v>
      </c>
      <c r="F39" s="268">
        <v>5425.55</v>
      </c>
      <c r="G39" s="269">
        <v>12205</v>
      </c>
      <c r="H39" s="292"/>
      <c r="I39" s="290">
        <v>24915</v>
      </c>
      <c r="J39" s="278">
        <v>6395</v>
      </c>
      <c r="K39" s="278">
        <v>13551</v>
      </c>
      <c r="L39" s="278"/>
      <c r="M39" s="268">
        <v>42992</v>
      </c>
      <c r="N39" s="112"/>
      <c r="O39" s="112"/>
    </row>
    <row r="40" spans="1:16" s="2" customFormat="1" ht="16.5" x14ac:dyDescent="0.3">
      <c r="A40" s="373"/>
      <c r="B40" s="6" t="s">
        <v>890</v>
      </c>
      <c r="C40" s="280">
        <f t="shared" si="4"/>
        <v>1145290.6100000001</v>
      </c>
      <c r="D40" s="302">
        <v>315922.53000000003</v>
      </c>
      <c r="E40" s="269">
        <v>18908.14</v>
      </c>
      <c r="F40" s="280">
        <v>10515.9</v>
      </c>
      <c r="G40" s="269">
        <v>14931</v>
      </c>
      <c r="H40" s="293">
        <v>381018.5</v>
      </c>
      <c r="I40" s="269">
        <v>26630</v>
      </c>
      <c r="J40" s="278">
        <v>13880.5</v>
      </c>
      <c r="K40" s="294">
        <v>20491.18</v>
      </c>
      <c r="L40" s="294">
        <v>204599.35</v>
      </c>
      <c r="M40" s="280">
        <v>138393.51</v>
      </c>
      <c r="N40" s="112"/>
      <c r="O40" s="114"/>
      <c r="P40" s="112"/>
    </row>
    <row r="41" spans="1:16" s="2" customFormat="1" x14ac:dyDescent="0.25">
      <c r="A41" s="373"/>
      <c r="B41" s="6" t="s">
        <v>891</v>
      </c>
      <c r="C41" s="282">
        <f t="shared" si="4"/>
        <v>248231.88999999998</v>
      </c>
      <c r="D41" s="281">
        <v>121053.06</v>
      </c>
      <c r="E41" s="282">
        <v>32977.229999999996</v>
      </c>
      <c r="F41" s="282">
        <v>16781.099999999999</v>
      </c>
      <c r="G41" s="282">
        <v>9197</v>
      </c>
      <c r="H41" s="282"/>
      <c r="I41" s="282">
        <v>22285</v>
      </c>
      <c r="J41" s="282">
        <v>7361.5</v>
      </c>
      <c r="K41" s="282">
        <v>16022</v>
      </c>
      <c r="L41" s="282"/>
      <c r="M41" s="282">
        <v>22555</v>
      </c>
      <c r="N41" s="112"/>
      <c r="O41" s="114"/>
      <c r="P41" s="114"/>
    </row>
    <row r="42" spans="1:16" s="2" customFormat="1" ht="21.75" customHeight="1" x14ac:dyDescent="0.3">
      <c r="A42" s="373"/>
      <c r="B42" s="6" t="s">
        <v>892</v>
      </c>
      <c r="C42" s="282">
        <f t="shared" si="4"/>
        <v>693115.9</v>
      </c>
      <c r="D42" s="281">
        <v>234304.29</v>
      </c>
      <c r="E42" s="282">
        <v>186729.66</v>
      </c>
      <c r="F42" s="282">
        <v>32472.35</v>
      </c>
      <c r="G42" s="282">
        <v>12133.5</v>
      </c>
      <c r="H42" s="282">
        <v>33000</v>
      </c>
      <c r="I42" s="282">
        <v>25185</v>
      </c>
      <c r="J42" s="283">
        <v>13494</v>
      </c>
      <c r="K42" s="173">
        <v>15473</v>
      </c>
      <c r="L42" s="173"/>
      <c r="M42" s="282">
        <v>140324.1</v>
      </c>
      <c r="O42" s="114"/>
      <c r="P42" s="114"/>
    </row>
    <row r="43" spans="1:16" s="2" customFormat="1" x14ac:dyDescent="0.25">
      <c r="A43" s="373"/>
      <c r="B43" s="5" t="s">
        <v>794</v>
      </c>
      <c r="C43" s="266">
        <f t="shared" si="4"/>
        <v>7229570.29</v>
      </c>
      <c r="D43" s="267">
        <f>SUM(D31:D42)</f>
        <v>2208682.69</v>
      </c>
      <c r="E43" s="267">
        <f>SUM(E31:E42)</f>
        <v>1231217.3999999999</v>
      </c>
      <c r="F43" s="267">
        <f>SUM(F31:F42)</f>
        <v>90123.56</v>
      </c>
      <c r="G43" s="267">
        <f t="shared" ref="G43:L43" si="5">SUM(G31:G42)</f>
        <v>157249.75</v>
      </c>
      <c r="H43" s="267">
        <f t="shared" si="5"/>
        <v>825016.5</v>
      </c>
      <c r="I43" s="267">
        <f>SUM(I31:I42)</f>
        <v>285967</v>
      </c>
      <c r="J43" s="267">
        <f t="shared" si="5"/>
        <v>112347.5</v>
      </c>
      <c r="K43" s="267">
        <f t="shared" si="5"/>
        <v>188806.38</v>
      </c>
      <c r="L43" s="267">
        <f t="shared" si="5"/>
        <v>1207233.73</v>
      </c>
      <c r="M43" s="267">
        <f>SUM(M31:M42)</f>
        <v>922925.77999999991</v>
      </c>
      <c r="O43" s="114"/>
      <c r="P43" s="114"/>
    </row>
    <row r="44" spans="1:16" s="2" customFormat="1" ht="21" x14ac:dyDescent="0.35">
      <c r="A44" s="373">
        <v>2025</v>
      </c>
      <c r="B44" s="332" t="s">
        <v>795</v>
      </c>
      <c r="C44" s="317">
        <f>SUM(D44:M44)</f>
        <v>244550.24</v>
      </c>
      <c r="D44" s="318">
        <v>93229.94</v>
      </c>
      <c r="E44" s="319">
        <v>16138.8</v>
      </c>
      <c r="F44" s="317">
        <v>9656</v>
      </c>
      <c r="G44" s="320">
        <v>8690</v>
      </c>
      <c r="H44" s="321"/>
      <c r="I44" s="322">
        <v>20860</v>
      </c>
      <c r="J44" s="322">
        <v>3107</v>
      </c>
      <c r="K44" s="323">
        <v>46207</v>
      </c>
      <c r="L44" s="323"/>
      <c r="M44" s="317">
        <v>46661.5</v>
      </c>
      <c r="N44" s="310"/>
      <c r="P44" s="114"/>
    </row>
    <row r="45" spans="1:16" s="2" customFormat="1" ht="21" x14ac:dyDescent="0.35">
      <c r="A45" s="373"/>
      <c r="B45" s="333" t="s">
        <v>893</v>
      </c>
      <c r="C45" s="324">
        <f>SUM(D45:M45)</f>
        <v>317490.95</v>
      </c>
      <c r="D45" s="337">
        <v>163093.26999999999</v>
      </c>
      <c r="E45" s="338">
        <v>16468.29</v>
      </c>
      <c r="F45" s="339">
        <v>6247</v>
      </c>
      <c r="G45" s="340">
        <v>11152.5</v>
      </c>
      <c r="H45" s="341"/>
      <c r="I45" s="340">
        <v>20970</v>
      </c>
      <c r="J45" s="325">
        <v>20367.5</v>
      </c>
      <c r="K45" s="342">
        <v>16409</v>
      </c>
      <c r="L45" s="342">
        <v>1848.39</v>
      </c>
      <c r="M45" s="339">
        <v>60935</v>
      </c>
      <c r="N45" s="310"/>
      <c r="P45" s="112"/>
    </row>
    <row r="46" spans="1:16" s="2" customFormat="1" ht="21" x14ac:dyDescent="0.35">
      <c r="A46" s="373"/>
      <c r="B46" s="333" t="s">
        <v>894</v>
      </c>
      <c r="C46" s="327">
        <f t="shared" ref="C46:C56" si="6">SUM(D46:M46)</f>
        <v>569213.53</v>
      </c>
      <c r="D46" s="343">
        <v>153541.67000000001</v>
      </c>
      <c r="E46" s="344">
        <v>43081.36</v>
      </c>
      <c r="F46" s="339">
        <v>27405</v>
      </c>
      <c r="G46" s="340">
        <v>9175</v>
      </c>
      <c r="H46" s="340">
        <v>262828</v>
      </c>
      <c r="I46" s="328">
        <v>23875</v>
      </c>
      <c r="J46" s="329">
        <v>8208.5</v>
      </c>
      <c r="K46" s="329">
        <v>16608</v>
      </c>
      <c r="L46" s="345"/>
      <c r="M46" s="339">
        <v>24491</v>
      </c>
      <c r="N46" s="310"/>
      <c r="P46" s="112"/>
    </row>
    <row r="47" spans="1:16" s="2" customFormat="1" ht="21" x14ac:dyDescent="0.35">
      <c r="A47" s="373"/>
      <c r="B47" s="333" t="s">
        <v>804</v>
      </c>
      <c r="C47" s="327">
        <f t="shared" si="6"/>
        <v>715655.32</v>
      </c>
      <c r="D47" s="343">
        <v>396428.29</v>
      </c>
      <c r="E47" s="330">
        <v>103004.63</v>
      </c>
      <c r="F47" s="339">
        <v>20794.55</v>
      </c>
      <c r="G47" s="338">
        <v>9707</v>
      </c>
      <c r="H47" s="346"/>
      <c r="I47" s="331">
        <v>25340</v>
      </c>
      <c r="J47" s="347">
        <v>10629.5</v>
      </c>
      <c r="K47" s="348">
        <v>15452</v>
      </c>
      <c r="L47" s="348">
        <v>68858.850000000006</v>
      </c>
      <c r="M47" s="339">
        <v>65440.5</v>
      </c>
      <c r="N47" s="310"/>
      <c r="O47" s="303"/>
      <c r="P47" s="114"/>
    </row>
    <row r="48" spans="1:16" s="118" customFormat="1" ht="21" x14ac:dyDescent="0.35">
      <c r="A48" s="373"/>
      <c r="B48" s="334" t="s">
        <v>806</v>
      </c>
      <c r="C48" s="326">
        <f t="shared" si="6"/>
        <v>508687.86</v>
      </c>
      <c r="D48" s="330">
        <v>279359.98</v>
      </c>
      <c r="E48" s="338">
        <v>66897.33</v>
      </c>
      <c r="F48" s="342">
        <v>24488.35</v>
      </c>
      <c r="G48" s="349">
        <v>9835</v>
      </c>
      <c r="H48" s="346"/>
      <c r="I48" s="338">
        <v>25440</v>
      </c>
      <c r="J48" s="348">
        <v>11449</v>
      </c>
      <c r="K48" s="350">
        <v>28532</v>
      </c>
      <c r="L48" s="350"/>
      <c r="M48" s="342">
        <f>62666.2+20</f>
        <v>62686.2</v>
      </c>
      <c r="N48" s="310"/>
      <c r="O48" s="258"/>
      <c r="P48" s="258"/>
    </row>
    <row r="49" spans="1:16" s="2" customFormat="1" ht="21" x14ac:dyDescent="0.35">
      <c r="A49" s="373"/>
      <c r="B49" s="333" t="s">
        <v>808</v>
      </c>
      <c r="C49" s="324">
        <f t="shared" si="6"/>
        <v>1165038.1600000001</v>
      </c>
      <c r="D49" s="343">
        <v>115955.21</v>
      </c>
      <c r="E49" s="338">
        <v>206707.14</v>
      </c>
      <c r="F49" s="339">
        <v>4048</v>
      </c>
      <c r="G49" s="349">
        <v>9018</v>
      </c>
      <c r="H49" s="351">
        <v>317752.31</v>
      </c>
      <c r="I49" s="347">
        <v>27310</v>
      </c>
      <c r="J49" s="348">
        <v>7802.5</v>
      </c>
      <c r="K49" s="352">
        <v>24671</v>
      </c>
      <c r="L49" s="345"/>
      <c r="M49" s="339">
        <f>449270+2504</f>
        <v>451774</v>
      </c>
      <c r="N49" s="310"/>
      <c r="O49" s="112"/>
      <c r="P49" s="112"/>
    </row>
    <row r="50" spans="1:16" s="2" customFormat="1" ht="16.5" x14ac:dyDescent="0.3">
      <c r="A50" s="373"/>
      <c r="B50" s="333" t="s">
        <v>811</v>
      </c>
      <c r="C50" s="279">
        <f t="shared" si="6"/>
        <v>585542.49</v>
      </c>
      <c r="D50" s="114">
        <v>163653.18</v>
      </c>
      <c r="E50" s="353">
        <v>224563.19</v>
      </c>
      <c r="F50" s="279"/>
      <c r="G50" s="353">
        <v>15907</v>
      </c>
      <c r="H50" s="291"/>
      <c r="I50" s="285">
        <v>33805</v>
      </c>
      <c r="J50" s="354">
        <v>10869.5</v>
      </c>
      <c r="K50" s="355">
        <v>10689</v>
      </c>
      <c r="L50" s="355">
        <v>23493</v>
      </c>
      <c r="M50" s="279">
        <v>102562.62</v>
      </c>
      <c r="N50" s="112"/>
      <c r="O50" s="112"/>
    </row>
    <row r="51" spans="1:16" s="2" customFormat="1" ht="16.5" x14ac:dyDescent="0.3">
      <c r="A51" s="373"/>
      <c r="B51" s="333" t="s">
        <v>814</v>
      </c>
      <c r="C51" s="279">
        <f t="shared" si="6"/>
        <v>375159.66</v>
      </c>
      <c r="D51" s="356">
        <v>192960.49</v>
      </c>
      <c r="E51" s="357">
        <v>23967.67</v>
      </c>
      <c r="F51" s="279">
        <v>9201</v>
      </c>
      <c r="G51" s="353">
        <v>19051</v>
      </c>
      <c r="H51" s="353"/>
      <c r="I51" s="285">
        <v>29485</v>
      </c>
      <c r="J51" s="291">
        <v>14681.5</v>
      </c>
      <c r="K51" s="285">
        <v>109</v>
      </c>
      <c r="L51" s="285"/>
      <c r="M51" s="279">
        <v>85704</v>
      </c>
      <c r="N51" s="112"/>
      <c r="P51" s="114"/>
    </row>
    <row r="52" spans="1:16" s="2" customFormat="1" ht="16.5" x14ac:dyDescent="0.3">
      <c r="A52" s="373"/>
      <c r="B52" s="333" t="s">
        <v>817</v>
      </c>
      <c r="C52" s="268">
        <f t="shared" si="6"/>
        <v>966424.09</v>
      </c>
      <c r="D52" s="358">
        <v>223690</v>
      </c>
      <c r="E52" s="2">
        <v>33143.19</v>
      </c>
      <c r="F52" s="279">
        <v>1181.3</v>
      </c>
      <c r="G52" s="353">
        <v>13624</v>
      </c>
      <c r="H52" s="292">
        <v>362745</v>
      </c>
      <c r="I52" s="353">
        <v>27840</v>
      </c>
      <c r="J52" s="354">
        <v>11754.5</v>
      </c>
      <c r="K52" s="354">
        <v>14538</v>
      </c>
      <c r="L52" s="354"/>
      <c r="M52" s="279">
        <v>277908.09999999998</v>
      </c>
      <c r="N52" s="112"/>
      <c r="O52" s="112"/>
    </row>
    <row r="53" spans="1:16" s="2" customFormat="1" ht="16.5" x14ac:dyDescent="0.3">
      <c r="A53" s="373"/>
      <c r="B53" s="333" t="s">
        <v>820</v>
      </c>
      <c r="C53" s="280">
        <f t="shared" si="6"/>
        <v>967512.06</v>
      </c>
      <c r="D53" s="302">
        <v>169234.1</v>
      </c>
      <c r="E53" s="269">
        <v>370049.46</v>
      </c>
      <c r="F53" s="280">
        <v>746.5</v>
      </c>
      <c r="G53" s="269">
        <v>11644.5</v>
      </c>
      <c r="H53" s="293"/>
      <c r="I53" s="269">
        <v>27560</v>
      </c>
      <c r="J53" s="278">
        <v>11381.5</v>
      </c>
      <c r="K53" s="294">
        <v>22204</v>
      </c>
      <c r="L53" s="294"/>
      <c r="M53" s="280">
        <v>354692</v>
      </c>
      <c r="N53" s="112"/>
      <c r="O53" s="114"/>
      <c r="P53" s="112">
        <f>+C53-O53</f>
        <v>967512.06</v>
      </c>
    </row>
    <row r="54" spans="1:16" s="2" customFormat="1" ht="15.75" x14ac:dyDescent="0.25">
      <c r="A54" s="373"/>
      <c r="B54" s="333" t="s">
        <v>895</v>
      </c>
      <c r="C54" s="282">
        <f t="shared" si="6"/>
        <v>0</v>
      </c>
      <c r="D54" s="281"/>
      <c r="E54" s="282"/>
      <c r="F54" s="282"/>
      <c r="G54" s="282"/>
      <c r="H54" s="282"/>
      <c r="I54" s="282"/>
      <c r="J54" s="282"/>
      <c r="K54" s="282"/>
      <c r="L54" s="282"/>
      <c r="M54" s="282"/>
      <c r="N54" s="112"/>
      <c r="O54" s="114"/>
      <c r="P54" s="114"/>
    </row>
    <row r="55" spans="1:16" s="2" customFormat="1" ht="4.5" customHeight="1" x14ac:dyDescent="0.3">
      <c r="A55" s="373"/>
      <c r="B55" s="333" t="s">
        <v>826</v>
      </c>
      <c r="C55" s="282">
        <f t="shared" si="6"/>
        <v>0</v>
      </c>
      <c r="D55" s="281"/>
      <c r="E55" s="282"/>
      <c r="F55" s="282"/>
      <c r="G55" s="282"/>
      <c r="H55" s="282"/>
      <c r="I55" s="282"/>
      <c r="J55" s="283"/>
      <c r="K55" s="173"/>
      <c r="L55" s="173"/>
      <c r="M55" s="282"/>
      <c r="O55" s="114"/>
      <c r="P55" s="114"/>
    </row>
    <row r="56" spans="1:16" s="2" customFormat="1" ht="21" x14ac:dyDescent="0.35">
      <c r="A56" s="374"/>
      <c r="B56" s="311" t="s">
        <v>794</v>
      </c>
      <c r="C56" s="335">
        <f t="shared" si="6"/>
        <v>6415274.3600000003</v>
      </c>
      <c r="D56" s="336">
        <f>SUM(D44:D55)</f>
        <v>1951146.13</v>
      </c>
      <c r="E56" s="336">
        <f>SUM(E44:E55)</f>
        <v>1104021.06</v>
      </c>
      <c r="F56" s="336">
        <f>SUM(F44:F55)</f>
        <v>103767.7</v>
      </c>
      <c r="G56" s="336">
        <f t="shared" ref="G56:H56" si="7">SUM(G44:G55)</f>
        <v>117804</v>
      </c>
      <c r="H56" s="336">
        <f t="shared" si="7"/>
        <v>943325.31</v>
      </c>
      <c r="I56" s="336">
        <f>SUM(I44:I55)</f>
        <v>262485</v>
      </c>
      <c r="J56" s="336">
        <f t="shared" ref="J56:L56" si="8">SUM(J44:J55)</f>
        <v>110251</v>
      </c>
      <c r="K56" s="336">
        <f t="shared" si="8"/>
        <v>195419</v>
      </c>
      <c r="L56" s="336">
        <f t="shared" si="8"/>
        <v>94200.24</v>
      </c>
      <c r="M56" s="336">
        <f>SUM(M44:M55)</f>
        <v>1532854.92</v>
      </c>
      <c r="N56" s="312">
        <v>1</v>
      </c>
      <c r="O56" s="114"/>
      <c r="P56" s="114"/>
    </row>
    <row r="57" spans="1:16" s="2" customFormat="1" x14ac:dyDescent="0.25">
      <c r="D57" s="3"/>
      <c r="E57" s="3"/>
      <c r="F57" s="3"/>
      <c r="P57" s="114"/>
    </row>
    <row r="58" spans="1:16" s="2" customFormat="1" x14ac:dyDescent="0.25">
      <c r="D58" s="3"/>
      <c r="E58" s="3"/>
      <c r="F58" s="3"/>
      <c r="O58" s="112"/>
    </row>
    <row r="59" spans="1:16" s="2" customFormat="1" x14ac:dyDescent="0.25">
      <c r="D59" s="3"/>
      <c r="E59" s="3"/>
      <c r="F59" s="3"/>
    </row>
    <row r="60" spans="1:16" s="2" customFormat="1" x14ac:dyDescent="0.25">
      <c r="D60" s="3"/>
      <c r="E60" s="3"/>
      <c r="F60" s="3"/>
      <c r="O60" s="112"/>
    </row>
    <row r="61" spans="1:16" s="2" customFormat="1" x14ac:dyDescent="0.25">
      <c r="D61" s="3"/>
      <c r="E61" s="3"/>
      <c r="F61" s="3"/>
    </row>
    <row r="62" spans="1:16" s="2" customFormat="1" x14ac:dyDescent="0.25">
      <c r="D62" s="3"/>
      <c r="E62" s="3"/>
      <c r="F62" s="3"/>
      <c r="O62" s="112"/>
    </row>
    <row r="63" spans="1:16" s="2" customFormat="1" x14ac:dyDescent="0.25">
      <c r="D63" s="3"/>
      <c r="E63" s="3"/>
      <c r="F63" s="3"/>
    </row>
    <row r="64" spans="1:1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3:6" s="2" customFormat="1" x14ac:dyDescent="0.25">
      <c r="D97" s="3"/>
      <c r="E97" s="3"/>
      <c r="F97" s="3"/>
    </row>
    <row r="98" spans="3:6" s="2" customFormat="1" x14ac:dyDescent="0.25">
      <c r="D98" s="3"/>
      <c r="E98" s="3"/>
      <c r="F98" s="3"/>
    </row>
    <row r="99" spans="3:6" s="2" customFormat="1" x14ac:dyDescent="0.25">
      <c r="D99" s="3"/>
      <c r="E99" s="3"/>
      <c r="F99" s="3"/>
    </row>
    <row r="100" spans="3:6" s="2" customFormat="1" x14ac:dyDescent="0.25">
      <c r="D100" s="3"/>
      <c r="E100" s="3"/>
      <c r="F100" s="3"/>
    </row>
    <row r="101" spans="3:6" s="2" customFormat="1" x14ac:dyDescent="0.25">
      <c r="D101" s="3"/>
      <c r="E101" s="3"/>
      <c r="F101" s="3"/>
    </row>
    <row r="102" spans="3:6" s="2" customFormat="1" x14ac:dyDescent="0.25">
      <c r="D102" s="3"/>
      <c r="E102" s="3"/>
      <c r="F102" s="3"/>
    </row>
    <row r="103" spans="3:6" s="2" customFormat="1" x14ac:dyDescent="0.25">
      <c r="D103" s="3"/>
      <c r="E103" s="3"/>
      <c r="F103" s="3"/>
    </row>
    <row r="104" spans="3:6" s="2" customFormat="1" x14ac:dyDescent="0.25">
      <c r="C104" s="112"/>
      <c r="D104" s="3"/>
      <c r="E104" s="3"/>
      <c r="F104" s="3"/>
    </row>
    <row r="105" spans="3:6" s="2" customFormat="1" x14ac:dyDescent="0.25">
      <c r="D105" s="3"/>
      <c r="E105" s="3"/>
      <c r="F105" s="3"/>
    </row>
    <row r="106" spans="3:6" s="2" customFormat="1" x14ac:dyDescent="0.25">
      <c r="D106" s="3"/>
      <c r="E106" s="3"/>
      <c r="F106" s="3"/>
    </row>
    <row r="107" spans="3:6" s="2" customFormat="1" x14ac:dyDescent="0.25">
      <c r="D107" s="3"/>
      <c r="E107" s="3"/>
      <c r="F107" s="3"/>
    </row>
    <row r="108" spans="3:6" s="2" customFormat="1" x14ac:dyDescent="0.25">
      <c r="D108" s="3"/>
      <c r="E108" s="3"/>
      <c r="F108" s="3"/>
    </row>
    <row r="109" spans="3:6" s="2" customFormat="1" x14ac:dyDescent="0.25">
      <c r="D109" s="3"/>
      <c r="E109" s="3"/>
      <c r="F109" s="3"/>
    </row>
    <row r="110" spans="3:6" s="2" customFormat="1" x14ac:dyDescent="0.25">
      <c r="D110" s="3"/>
      <c r="E110" s="3"/>
      <c r="F110" s="3"/>
    </row>
    <row r="111" spans="3:6" s="2" customFormat="1" x14ac:dyDescent="0.25">
      <c r="D111" s="3"/>
      <c r="E111" s="3"/>
      <c r="F111" s="3"/>
    </row>
    <row r="112" spans="3:6" s="2" customFormat="1" x14ac:dyDescent="0.25">
      <c r="D112" s="3"/>
      <c r="E112" s="3"/>
      <c r="F112" s="3"/>
    </row>
    <row r="113" spans="4:6" s="2" customFormat="1" x14ac:dyDescent="0.25">
      <c r="D113" s="3"/>
      <c r="E113" s="3"/>
      <c r="F113" s="3"/>
    </row>
    <row r="114" spans="4:6" s="2" customFormat="1" x14ac:dyDescent="0.25">
      <c r="D114" s="3"/>
      <c r="E114" s="3"/>
      <c r="F114" s="3"/>
    </row>
    <row r="115" spans="4:6" s="2" customFormat="1" x14ac:dyDescent="0.25">
      <c r="D115" s="3"/>
      <c r="E115" s="3"/>
      <c r="F115" s="3"/>
    </row>
    <row r="116" spans="4:6" s="2" customFormat="1" x14ac:dyDescent="0.25">
      <c r="D116" s="3"/>
      <c r="E116" s="3"/>
      <c r="F116" s="3"/>
    </row>
    <row r="117" spans="4:6" s="2" customFormat="1" x14ac:dyDescent="0.25">
      <c r="D117" s="3"/>
      <c r="E117" s="3"/>
      <c r="F117" s="3"/>
    </row>
    <row r="118" spans="4:6" s="2" customFormat="1" x14ac:dyDescent="0.25">
      <c r="D118" s="3"/>
      <c r="E118" s="3"/>
      <c r="F118" s="3"/>
    </row>
    <row r="119" spans="4:6" s="2" customFormat="1" x14ac:dyDescent="0.25">
      <c r="D119" s="3"/>
      <c r="E119" s="3"/>
      <c r="F119" s="3"/>
    </row>
    <row r="120" spans="4:6" s="2" customFormat="1" x14ac:dyDescent="0.25">
      <c r="D120" s="3"/>
      <c r="E120" s="3"/>
      <c r="F120" s="3"/>
    </row>
    <row r="121" spans="4:6" s="2" customFormat="1" x14ac:dyDescent="0.25">
      <c r="D121" s="3"/>
      <c r="E121" s="3"/>
      <c r="F121" s="3"/>
    </row>
    <row r="122" spans="4:6" s="2" customFormat="1" x14ac:dyDescent="0.25">
      <c r="D122" s="3"/>
      <c r="E122" s="3"/>
      <c r="F122" s="3"/>
    </row>
    <row r="123" spans="4:6" s="2" customFormat="1" x14ac:dyDescent="0.25">
      <c r="D123" s="3"/>
      <c r="E123" s="3"/>
      <c r="F123" s="3"/>
    </row>
    <row r="124" spans="4:6" s="2" customFormat="1" x14ac:dyDescent="0.25">
      <c r="D124" s="3"/>
      <c r="E124" s="3"/>
      <c r="F124" s="3"/>
    </row>
    <row r="125" spans="4:6" s="2" customFormat="1" x14ac:dyDescent="0.25">
      <c r="D125" s="3"/>
      <c r="E125" s="3"/>
      <c r="F125" s="3"/>
    </row>
    <row r="126" spans="4:6" s="2" customFormat="1" x14ac:dyDescent="0.25">
      <c r="D126" s="3"/>
      <c r="E126" s="3"/>
      <c r="F126" s="3"/>
    </row>
    <row r="127" spans="4:6" s="2" customFormat="1" x14ac:dyDescent="0.25">
      <c r="D127" s="3"/>
      <c r="E127" s="3"/>
      <c r="F127" s="3"/>
    </row>
    <row r="128" spans="4:6" s="2" customFormat="1" x14ac:dyDescent="0.25">
      <c r="D128" s="3"/>
      <c r="E128" s="3"/>
      <c r="F128" s="3"/>
    </row>
    <row r="129" spans="4:17" s="2" customFormat="1" x14ac:dyDescent="0.25">
      <c r="D129" s="3"/>
      <c r="E129" s="3"/>
      <c r="F129" s="3"/>
      <c r="N129"/>
      <c r="O129"/>
      <c r="P129"/>
      <c r="Q129"/>
    </row>
  </sheetData>
  <autoFilter ref="A3:N100" xr:uid="{00000000-0001-0000-0100-000000000000}"/>
  <mergeCells count="3">
    <mergeCell ref="A18:A30"/>
    <mergeCell ref="A31:A43"/>
    <mergeCell ref="A44:A56"/>
  </mergeCells>
  <pageMargins left="0.25" right="0.25" top="0.75" bottom="0.75" header="0.3" footer="0.3"/>
  <pageSetup paperSize="9"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3</vt:i4>
      </vt:variant>
      <vt:variant>
        <vt:lpstr>Rangjet e emëruara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PAGESAT!Titujt_e_printimit</vt:lpstr>
      <vt:lpstr>PAGESAT!Zona_e_printimit</vt:lpstr>
      <vt:lpstr>PRANIMET!Zona_e_printimit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Hajrije Haxhijaj</cp:lastModifiedBy>
  <cp:lastPrinted>2025-07-29T08:46:39Z</cp:lastPrinted>
  <dcterms:created xsi:type="dcterms:W3CDTF">2015-03-12T08:53:45Z</dcterms:created>
  <dcterms:modified xsi:type="dcterms:W3CDTF">2025-11-14T09:24:55Z</dcterms:modified>
</cp:coreProperties>
</file>