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 2026\"/>
    </mc:Choice>
  </mc:AlternateContent>
  <xr:revisionPtr revIDLastSave="0" documentId="13_ncr:1_{0BBC769B-956A-4E64-A540-CC3B227AA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J48" i="6" l="1"/>
  <c r="L44" i="12" l="1"/>
  <c r="L56" i="12" s="1"/>
  <c r="M44" i="12"/>
  <c r="E56" i="6"/>
  <c r="E55" i="6"/>
  <c r="E54" i="6"/>
  <c r="E53" i="6"/>
  <c r="E52" i="6"/>
  <c r="E51" i="6"/>
  <c r="E50" i="6"/>
  <c r="E49" i="6"/>
  <c r="E48" i="6"/>
  <c r="E47" i="6"/>
  <c r="E46" i="6"/>
  <c r="E45" i="6"/>
  <c r="V57" i="6"/>
  <c r="U57" i="6"/>
  <c r="T57" i="6"/>
  <c r="S57" i="6"/>
  <c r="R57" i="6"/>
  <c r="P57" i="6"/>
  <c r="O57" i="6"/>
  <c r="M57" i="6"/>
  <c r="J57" i="6"/>
  <c r="I57" i="6"/>
  <c r="H57" i="6"/>
  <c r="Q56" i="6"/>
  <c r="K56" i="6"/>
  <c r="D56" i="6"/>
  <c r="Q55" i="6"/>
  <c r="C55" i="6" s="1"/>
  <c r="K55" i="6"/>
  <c r="Q54" i="6"/>
  <c r="K54" i="6"/>
  <c r="Q53" i="6"/>
  <c r="K53" i="6"/>
  <c r="D53" i="6"/>
  <c r="Q52" i="6"/>
  <c r="K52" i="6"/>
  <c r="G57" i="6"/>
  <c r="F57" i="6"/>
  <c r="Q51" i="6"/>
  <c r="D51" i="6" s="1"/>
  <c r="K51" i="6"/>
  <c r="Q50" i="6"/>
  <c r="K50" i="6"/>
  <c r="Q49" i="6"/>
  <c r="D49" i="6" s="1"/>
  <c r="K49" i="6"/>
  <c r="Q48" i="6"/>
  <c r="K48" i="6"/>
  <c r="Q47" i="6"/>
  <c r="K47" i="6"/>
  <c r="Q46" i="6"/>
  <c r="L57" i="6"/>
  <c r="K46" i="6"/>
  <c r="Q45" i="6"/>
  <c r="K45" i="6"/>
  <c r="K56" i="12"/>
  <c r="J56" i="12"/>
  <c r="I56" i="12"/>
  <c r="H56" i="12"/>
  <c r="G56" i="12"/>
  <c r="F56" i="12"/>
  <c r="E56" i="12"/>
  <c r="D56" i="12"/>
  <c r="C55" i="12"/>
  <c r="C54" i="12"/>
  <c r="C53" i="12"/>
  <c r="C52" i="12"/>
  <c r="C51" i="12"/>
  <c r="C50" i="12"/>
  <c r="C49" i="12"/>
  <c r="C47" i="12"/>
  <c r="C46" i="12"/>
  <c r="C45" i="12"/>
  <c r="M39" i="12"/>
  <c r="C49" i="6" l="1"/>
  <c r="D48" i="6"/>
  <c r="C44" i="12"/>
  <c r="D46" i="6"/>
  <c r="M56" i="12"/>
  <c r="C56" i="12" s="1"/>
  <c r="D55" i="6"/>
  <c r="D54" i="6"/>
  <c r="C48" i="6"/>
  <c r="D50" i="6"/>
  <c r="C53" i="6"/>
  <c r="Q57" i="6"/>
  <c r="C47" i="6"/>
  <c r="C56" i="6"/>
  <c r="C51" i="6"/>
  <c r="K57" i="6"/>
  <c r="C45" i="6"/>
  <c r="D47" i="6"/>
  <c r="C54" i="6"/>
  <c r="D45" i="6"/>
  <c r="C50" i="6"/>
  <c r="N57" i="6"/>
  <c r="C46" i="6"/>
  <c r="C48" i="12"/>
  <c r="N39" i="6"/>
  <c r="G39" i="6"/>
  <c r="M63" i="12" l="1"/>
  <c r="D52" i="6"/>
  <c r="D57" i="6" s="1"/>
  <c r="C52" i="6"/>
  <c r="E57" i="6"/>
  <c r="C57" i="6" s="1"/>
  <c r="Q39" i="6"/>
  <c r="F39" i="6"/>
  <c r="K38" i="6"/>
  <c r="K39" i="6"/>
  <c r="K40" i="6"/>
  <c r="K41" i="6"/>
  <c r="M35" i="12" l="1"/>
  <c r="M36" i="12"/>
  <c r="L33" i="6" l="1"/>
  <c r="Q32" i="6" l="1"/>
  <c r="K32" i="6"/>
  <c r="V44" i="6" l="1"/>
  <c r="U44" i="6"/>
  <c r="T44" i="6"/>
  <c r="S44" i="6"/>
  <c r="P44" i="6"/>
  <c r="O44" i="6"/>
  <c r="N44" i="6"/>
  <c r="M44" i="6"/>
  <c r="J44" i="6"/>
  <c r="I44" i="6"/>
  <c r="H44" i="6"/>
  <c r="F44" i="6"/>
  <c r="Q43" i="6"/>
  <c r="K43" i="6"/>
  <c r="E43" i="6"/>
  <c r="Q42" i="6"/>
  <c r="K42" i="6"/>
  <c r="E42" i="6"/>
  <c r="R44" i="6"/>
  <c r="Q41" i="6"/>
  <c r="L44" i="6"/>
  <c r="E41" i="6"/>
  <c r="Q40" i="6"/>
  <c r="E40" i="6"/>
  <c r="E39" i="6"/>
  <c r="Q38" i="6"/>
  <c r="E38" i="6"/>
  <c r="Q37" i="6"/>
  <c r="K37" i="6"/>
  <c r="G44" i="6"/>
  <c r="Q36" i="6"/>
  <c r="K36" i="6"/>
  <c r="E36" i="6"/>
  <c r="Q35" i="6"/>
  <c r="K35" i="6"/>
  <c r="E35" i="6"/>
  <c r="Q34" i="6"/>
  <c r="K34" i="6"/>
  <c r="E34" i="6"/>
  <c r="Q33" i="6"/>
  <c r="K33" i="6"/>
  <c r="E33" i="6"/>
  <c r="E32" i="6"/>
  <c r="L43" i="12"/>
  <c r="K43" i="12"/>
  <c r="J43" i="12"/>
  <c r="I43" i="12"/>
  <c r="G43" i="12"/>
  <c r="F43" i="12"/>
  <c r="E43" i="12"/>
  <c r="C42" i="12"/>
  <c r="C41" i="12"/>
  <c r="C40" i="12"/>
  <c r="C39" i="12"/>
  <c r="C38" i="12"/>
  <c r="C37" i="12"/>
  <c r="C36" i="12"/>
  <c r="C35" i="12"/>
  <c r="M43" i="12"/>
  <c r="C34" i="12"/>
  <c r="C33" i="12"/>
  <c r="C32" i="12"/>
  <c r="C31" i="12"/>
  <c r="I26" i="6"/>
  <c r="D41" i="6" l="1"/>
  <c r="Q44" i="6"/>
  <c r="D36" i="6"/>
  <c r="D40" i="6"/>
  <c r="D43" i="6"/>
  <c r="D33" i="6"/>
  <c r="D32" i="6"/>
  <c r="C41" i="6"/>
  <c r="C34" i="6"/>
  <c r="D38" i="6"/>
  <c r="C35" i="6"/>
  <c r="D42" i="6"/>
  <c r="K44" i="6"/>
  <c r="C43" i="6"/>
  <c r="D34" i="6"/>
  <c r="D35" i="6"/>
  <c r="C33" i="6"/>
  <c r="C39" i="6"/>
  <c r="D39" i="6"/>
  <c r="E37" i="6"/>
  <c r="E44" i="6" s="1"/>
  <c r="C36" i="6"/>
  <c r="C38" i="6"/>
  <c r="C40" i="6"/>
  <c r="C42" i="6"/>
  <c r="C32" i="6"/>
  <c r="H43" i="12"/>
  <c r="R28" i="6"/>
  <c r="Q28" i="6" s="1"/>
  <c r="L28" i="6"/>
  <c r="G26" i="6"/>
  <c r="C43" i="12" l="1"/>
  <c r="C44" i="6"/>
  <c r="C37" i="6"/>
  <c r="D37" i="6"/>
  <c r="D44" i="6" s="1"/>
  <c r="M24" i="12"/>
  <c r="H24" i="12" l="1"/>
  <c r="G24" i="6"/>
  <c r="M24" i="6"/>
  <c r="Q23" i="6"/>
  <c r="M21" i="12"/>
  <c r="H21" i="12"/>
  <c r="Q19" i="6" l="1"/>
  <c r="K30" i="12"/>
  <c r="J30" i="12"/>
  <c r="I30" i="12"/>
  <c r="G30" i="12"/>
  <c r="F30" i="12"/>
  <c r="E30" i="12"/>
  <c r="D30" i="12"/>
  <c r="C29" i="12"/>
  <c r="C28" i="12"/>
  <c r="C27" i="12"/>
  <c r="C26" i="12"/>
  <c r="C25" i="12"/>
  <c r="C23" i="12"/>
  <c r="C22" i="12"/>
  <c r="C21" i="12"/>
  <c r="H30" i="12"/>
  <c r="L30" i="12"/>
  <c r="M30" i="12"/>
  <c r="V31" i="6"/>
  <c r="T31" i="6"/>
  <c r="S31" i="6"/>
  <c r="P31" i="6"/>
  <c r="O31" i="6"/>
  <c r="N31" i="6"/>
  <c r="L31" i="6"/>
  <c r="I31" i="6"/>
  <c r="H31" i="6"/>
  <c r="Q30" i="6"/>
  <c r="K30" i="6"/>
  <c r="E30" i="6"/>
  <c r="Q29" i="6"/>
  <c r="K29" i="6"/>
  <c r="E29" i="6"/>
  <c r="K28" i="6"/>
  <c r="F31" i="6"/>
  <c r="R31" i="6"/>
  <c r="K27" i="6"/>
  <c r="E27" i="6"/>
  <c r="Q26" i="6"/>
  <c r="K26" i="6"/>
  <c r="E26" i="6"/>
  <c r="Q25" i="6"/>
  <c r="K25" i="6"/>
  <c r="E25" i="6"/>
  <c r="Q24" i="6"/>
  <c r="K24" i="6"/>
  <c r="J31" i="6"/>
  <c r="E24" i="6"/>
  <c r="K23" i="6"/>
  <c r="E23" i="6"/>
  <c r="Q22" i="6"/>
  <c r="K22" i="6"/>
  <c r="E22" i="6"/>
  <c r="Q21" i="6"/>
  <c r="M31" i="6"/>
  <c r="G31" i="6"/>
  <c r="Q20" i="6"/>
  <c r="K20" i="6"/>
  <c r="E20" i="6"/>
  <c r="K19" i="6"/>
  <c r="E19" i="6"/>
  <c r="C16" i="12"/>
  <c r="C30" i="6" l="1"/>
  <c r="D26" i="6"/>
  <c r="D20" i="6"/>
  <c r="D19" i="6"/>
  <c r="C18" i="12"/>
  <c r="C24" i="12"/>
  <c r="C20" i="12"/>
  <c r="C30" i="12"/>
  <c r="C19" i="12"/>
  <c r="C26" i="6"/>
  <c r="D30" i="6"/>
  <c r="D22" i="6"/>
  <c r="C22" i="6"/>
  <c r="K21" i="6"/>
  <c r="K31" i="6" s="1"/>
  <c r="D24" i="6"/>
  <c r="C24" i="6"/>
  <c r="U31" i="6"/>
  <c r="E28" i="6"/>
  <c r="D28" i="6" s="1"/>
  <c r="C25" i="6"/>
  <c r="C23" i="6"/>
  <c r="D23" i="6"/>
  <c r="D29" i="6"/>
  <c r="C29" i="6"/>
  <c r="C20" i="6"/>
  <c r="D25" i="6"/>
  <c r="Q27" i="6"/>
  <c r="C27" i="6" s="1"/>
  <c r="C19" i="6"/>
  <c r="E21" i="6"/>
  <c r="G14" i="6"/>
  <c r="G16" i="6"/>
  <c r="E31" i="6" l="1"/>
  <c r="C28" i="6"/>
  <c r="D21" i="6"/>
  <c r="C21" i="6"/>
  <c r="Q31" i="6"/>
  <c r="D27" i="6"/>
  <c r="M11" i="12"/>
  <c r="C31" i="6" l="1"/>
  <c r="D31" i="6"/>
  <c r="L12" i="12"/>
  <c r="L11" i="12"/>
  <c r="F15" i="6"/>
  <c r="U15" i="6"/>
  <c r="H14" i="12"/>
  <c r="R14" i="6" l="1"/>
  <c r="Q12" i="6" l="1"/>
  <c r="G9" i="6"/>
  <c r="J11" i="6"/>
  <c r="U10" i="6"/>
  <c r="Q9" i="6"/>
  <c r="M8" i="6"/>
  <c r="G8" i="6"/>
  <c r="H7" i="12"/>
  <c r="M5" i="12" l="1"/>
  <c r="M17" i="12" s="1"/>
  <c r="L6" i="12"/>
  <c r="C6" i="12" s="1"/>
  <c r="E7" i="6"/>
  <c r="K17" i="12"/>
  <c r="I17" i="12"/>
  <c r="G17" i="12"/>
  <c r="E17" i="12"/>
  <c r="D17" i="12"/>
  <c r="B17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B6" i="12"/>
  <c r="J17" i="12"/>
  <c r="B5" i="12"/>
  <c r="E6" i="6"/>
  <c r="V18" i="6"/>
  <c r="U18" i="6"/>
  <c r="T18" i="6"/>
  <c r="P18" i="6"/>
  <c r="O18" i="6"/>
  <c r="N18" i="6"/>
  <c r="M18" i="6"/>
  <c r="L18" i="6"/>
  <c r="B18" i="6"/>
  <c r="R18" i="6"/>
  <c r="Q17" i="6"/>
  <c r="K17" i="6"/>
  <c r="E17" i="6"/>
  <c r="B17" i="6"/>
  <c r="Q16" i="6"/>
  <c r="K16" i="6"/>
  <c r="E16" i="6"/>
  <c r="B16" i="6"/>
  <c r="Q15" i="6"/>
  <c r="K15" i="6"/>
  <c r="E15" i="6"/>
  <c r="B15" i="6"/>
  <c r="Q14" i="6"/>
  <c r="K14" i="6"/>
  <c r="E14" i="6"/>
  <c r="B14" i="6"/>
  <c r="S18" i="6"/>
  <c r="Q13" i="6"/>
  <c r="K13" i="6"/>
  <c r="E13" i="6"/>
  <c r="B13" i="6"/>
  <c r="K12" i="6"/>
  <c r="I18" i="6"/>
  <c r="E12" i="6"/>
  <c r="B12" i="6"/>
  <c r="Q11" i="6"/>
  <c r="K11" i="6"/>
  <c r="B11" i="6"/>
  <c r="Q10" i="6"/>
  <c r="K10" i="6"/>
  <c r="E10" i="6"/>
  <c r="B10" i="6"/>
  <c r="K9" i="6"/>
  <c r="E9" i="6"/>
  <c r="B9" i="6"/>
  <c r="Q8" i="6"/>
  <c r="K8" i="6"/>
  <c r="E8" i="6"/>
  <c r="B8" i="6"/>
  <c r="Q7" i="6"/>
  <c r="K7" i="6"/>
  <c r="B7" i="6"/>
  <c r="Q6" i="6"/>
  <c r="K6" i="6"/>
  <c r="B6" i="6"/>
  <c r="D16" i="6" l="1"/>
  <c r="D15" i="6"/>
  <c r="L17" i="12"/>
  <c r="D12" i="6"/>
  <c r="C15" i="6"/>
  <c r="C8" i="6"/>
  <c r="C5" i="12"/>
  <c r="J18" i="6"/>
  <c r="H18" i="6"/>
  <c r="D10" i="6"/>
  <c r="D8" i="6"/>
  <c r="H17" i="12"/>
  <c r="F17" i="12"/>
  <c r="C6" i="6"/>
  <c r="Q18" i="6"/>
  <c r="C16" i="6"/>
  <c r="C12" i="6"/>
  <c r="D14" i="6"/>
  <c r="C10" i="6"/>
  <c r="C7" i="6"/>
  <c r="D13" i="6"/>
  <c r="C13" i="6"/>
  <c r="C9" i="6"/>
  <c r="D9" i="6"/>
  <c r="D17" i="6"/>
  <c r="C17" i="6"/>
  <c r="K18" i="6"/>
  <c r="F18" i="6"/>
  <c r="D6" i="6"/>
  <c r="D7" i="6"/>
  <c r="C14" i="6"/>
  <c r="C17" i="12" l="1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G18" i="6" l="1"/>
  <c r="E11" i="6"/>
  <c r="D11" i="6" s="1"/>
  <c r="D18" i="6" s="1"/>
  <c r="C11" i="6" l="1"/>
  <c r="E18" i="6"/>
  <c r="C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H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1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1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11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14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15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15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1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18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21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22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24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27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31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32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33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34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4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35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39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  <comment ref="L44" authorId="0" shapeId="0" xr:uid="{08428138-9AEE-4208-A7A5-ED7709CE062E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C1F1E7B5-B05A-4797-BFF5-75518B01330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73185574-E62E-4CDD-B8B2-AB3FF1EE48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271638.00Gjobat ne trafik : 14458 gjobat nga gjykata dhe gjobat nga pyjet 67.73 , keto janë te hyra Janar-Mars 2026</t>
        </r>
      </text>
    </comment>
    <comment ref="H47" authorId="0" shapeId="0" xr:uid="{39727D0E-B704-4C38-B629-EF1740D8F1C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5F72797C-8D7F-4AD3-85A2-E24C5835207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9E432717-91CB-48C1-BE2B-59BD3D30753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30D5E61-1CA0-4887-880C-F974D49903B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B570306C-779A-44BA-9789-448E57E23C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<sst xmlns="http://schemas.openxmlformats.org/spreadsheetml/2006/main" count="1031" uniqueCount="909">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</sst>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2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4" fillId="38" borderId="10" xfId="1" applyNumberFormat="1" applyFont="1" applyFill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3" fontId="34" fillId="38" borderId="10" xfId="119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>
      <alignment horizontal="right"/>
    </xf>
    <xf numFmtId="3" fontId="34" fillId="38" borderId="11" xfId="1" applyNumberFormat="1" applyFont="1" applyFill="1" applyBorder="1" applyAlignment="1">
      <alignment horizontal="right"/>
    </xf>
    <xf numFmtId="3" fontId="34" fillId="2" borderId="11" xfId="119" applyNumberFormat="1" applyFont="1" applyFill="1" applyBorder="1" applyAlignment="1">
      <alignment horizontal="right"/>
    </xf>
    <xf numFmtId="3" fontId="34" fillId="38" borderId="11" xfId="119" applyNumberFormat="1" applyFont="1" applyFill="1" applyBorder="1" applyAlignment="1">
      <alignment horizontal="right"/>
    </xf>
    <xf numFmtId="4" fontId="33" fillId="0" borderId="32" xfId="0" applyNumberFormat="1" applyFont="1" applyBorder="1" applyAlignment="1">
      <alignment wrapText="1"/>
    </xf>
    <xf numFmtId="4" fontId="35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1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7" fillId="0" borderId="10" xfId="1" applyNumberFormat="1" applyFont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3" fontId="34" fillId="0" borderId="10" xfId="1" applyNumberFormat="1" applyFont="1" applyBorder="1" applyAlignment="1">
      <alignment horizontal="right"/>
    </xf>
    <xf numFmtId="3" fontId="37" fillId="0" borderId="11" xfId="1" applyNumberFormat="1" applyFont="1" applyBorder="1" applyAlignment="1">
      <alignment horizontal="right"/>
    </xf>
    <xf numFmtId="3" fontId="37" fillId="2" borderId="0" xfId="0" applyNumberFormat="1" applyFont="1" applyFill="1" applyAlignment="1">
      <alignment horizontal="right"/>
    </xf>
    <xf numFmtId="3" fontId="34" fillId="0" borderId="11" xfId="1" applyNumberFormat="1" applyFont="1" applyBorder="1" applyAlignment="1">
      <alignment horizontal="right"/>
    </xf>
    <xf numFmtId="3" fontId="37" fillId="0" borderId="10" xfId="1" applyNumberFormat="1" applyFont="1" applyFill="1" applyBorder="1" applyAlignment="1">
      <alignment horizontal="right"/>
    </xf>
    <xf numFmtId="3" fontId="34" fillId="0" borderId="32" xfId="0" applyNumberFormat="1" applyFont="1" applyBorder="1" applyAlignment="1">
      <alignment wrapText="1"/>
    </xf>
    <xf numFmtId="3" fontId="34" fillId="0" borderId="10" xfId="0" applyNumberFormat="1" applyFont="1" applyBorder="1" applyAlignment="1">
      <alignment horizontal="right"/>
    </xf>
    <xf numFmtId="3" fontId="34" fillId="0" borderId="12" xfId="0" applyNumberFormat="1" applyFont="1" applyBorder="1"/>
    <xf numFmtId="4" fontId="38" fillId="0" borderId="12" xfId="139" applyNumberFormat="1" applyFont="1" applyBorder="1"/>
    <xf numFmtId="4" fontId="34" fillId="0" borderId="12" xfId="139" applyNumberFormat="1" applyFont="1" applyBorder="1" applyAlignment="1">
      <alignment wrapText="1"/>
    </xf>
    <xf numFmtId="4" fontId="34" fillId="0" borderId="12" xfId="0" applyNumberFormat="1" applyFont="1" applyBorder="1"/>
    <xf numFmtId="4" fontId="35" fillId="38" borderId="35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4" fontId="39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39" fillId="38" borderId="12" xfId="0" applyNumberFormat="1" applyFont="1" applyFill="1" applyBorder="1" applyAlignment="1">
      <alignment vertical="center" wrapText="1"/>
    </xf>
    <xf numFmtId="3" fontId="36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7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0" fillId="38" borderId="41" xfId="0" applyNumberFormat="1" applyFont="1" applyFill="1" applyBorder="1" applyAlignment="1">
      <alignment vertical="center" wrapText="1"/>
    </xf>
    <xf numFmtId="4" fontId="0" fillId="0" borderId="0" xfId="0" applyNumberFormat="1" applyProtection="1">
      <protection hidden="1"/>
    </xf>
    <xf numFmtId="4" fontId="34" fillId="0" borderId="0" xfId="0" applyNumberFormat="1" applyFont="1"/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1" fillId="0" borderId="12" xfId="1" applyFont="1" applyFill="1" applyBorder="1" applyAlignment="1">
      <alignment horizontal="right" vertical="center" wrapText="1"/>
    </xf>
    <xf numFmtId="43" fontId="42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4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44" fillId="2" borderId="12" xfId="0" applyNumberFormat="1" applyFont="1" applyFill="1" applyBorder="1"/>
    <xf numFmtId="165" fontId="44" fillId="0" borderId="12" xfId="0" applyNumberFormat="1" applyFont="1" applyBorder="1"/>
    <xf numFmtId="3" fontId="0" fillId="0" borderId="33" xfId="1" applyNumberFormat="1" applyFont="1" applyBorder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4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4" fontId="21" fillId="2" borderId="10" xfId="1" applyNumberFormat="1" applyFont="1" applyFill="1" applyBorder="1" applyAlignment="1" applyProtection="1">
      <protection hidden="1"/>
    </xf>
    <xf numFmtId="4" fontId="45" fillId="38" borderId="35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horizontal="right" vertical="center" wrapText="1"/>
    </xf>
    <xf numFmtId="165" fontId="43" fillId="2" borderId="13" xfId="0" applyNumberFormat="1" applyFont="1" applyFill="1" applyBorder="1" applyAlignment="1">
      <alignment vertical="center"/>
    </xf>
    <xf numFmtId="165" fontId="43" fillId="2" borderId="13" xfId="0" applyNumberFormat="1" applyFont="1" applyFill="1" applyBorder="1" applyAlignment="1">
      <alignment horizontal="right" vertical="center"/>
    </xf>
    <xf numFmtId="165" fontId="46" fillId="39" borderId="12" xfId="0" applyNumberFormat="1" applyFont="1" applyFill="1" applyBorder="1" applyAlignment="1">
      <alignment vertical="center"/>
    </xf>
    <xf numFmtId="165" fontId="43" fillId="40" borderId="13" xfId="0" applyNumberFormat="1" applyFont="1" applyFill="1" applyBorder="1" applyAlignment="1">
      <alignment vertical="center"/>
    </xf>
    <xf numFmtId="165" fontId="43" fillId="39" borderId="12" xfId="0" applyNumberFormat="1" applyFont="1" applyFill="1" applyBorder="1" applyAlignment="1">
      <alignment horizontal="right" vertical="center"/>
    </xf>
    <xf numFmtId="4" fontId="0" fillId="0" borderId="44" xfId="0" applyNumberFormat="1" applyBorder="1"/>
    <xf numFmtId="4" fontId="0" fillId="0" borderId="45" xfId="0" applyNumberFormat="1" applyBorder="1"/>
    <xf numFmtId="4" fontId="47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6" xfId="1" applyNumberFormat="1" applyFont="1" applyBorder="1"/>
    <xf numFmtId="3" fontId="1" fillId="0" borderId="47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3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48" xfId="1" applyNumberFormat="1" applyFont="1" applyBorder="1" applyProtection="1">
      <protection hidden="1"/>
    </xf>
    <xf numFmtId="4" fontId="39" fillId="38" borderId="15" xfId="0" applyNumberFormat="1" applyFont="1" applyFill="1" applyBorder="1" applyAlignment="1">
      <alignment vertical="center" wrapText="1"/>
    </xf>
    <xf numFmtId="164" fontId="0" fillId="0" borderId="42" xfId="1" applyNumberFormat="1" applyFont="1" applyBorder="1" applyProtection="1">
      <protection hidden="1"/>
    </xf>
    <xf numFmtId="4" fontId="39" fillId="38" borderId="49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7" fillId="0" borderId="47" xfId="1" applyNumberFormat="1" applyFont="1" applyBorder="1" applyAlignment="1">
      <alignment horizontal="right"/>
    </xf>
    <xf numFmtId="3" fontId="34" fillId="2" borderId="47" xfId="119" applyNumberFormat="1" applyFont="1" applyFill="1" applyBorder="1" applyAlignment="1">
      <alignment horizontal="right"/>
    </xf>
    <xf numFmtId="3" fontId="38" fillId="0" borderId="13" xfId="139" applyNumberFormat="1" applyFont="1" applyBorder="1"/>
    <xf numFmtId="3" fontId="37" fillId="2" borderId="47" xfId="0" applyNumberFormat="1" applyFont="1" applyFill="1" applyBorder="1" applyAlignment="1">
      <alignment horizontal="right"/>
    </xf>
    <xf numFmtId="3" fontId="34" fillId="0" borderId="50" xfId="0" applyNumberFormat="1" applyFont="1" applyBorder="1" applyAlignment="1">
      <alignment wrapText="1"/>
    </xf>
    <xf numFmtId="3" fontId="34" fillId="0" borderId="47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7" fillId="0" borderId="12" xfId="1" applyNumberFormat="1" applyFont="1" applyBorder="1" applyAlignment="1">
      <alignment horizontal="right"/>
    </xf>
    <xf numFmtId="3" fontId="34" fillId="2" borderId="12" xfId="119" applyNumberFormat="1" applyFont="1" applyFill="1" applyBorder="1" applyAlignment="1">
      <alignment horizontal="right"/>
    </xf>
    <xf numFmtId="3" fontId="34" fillId="38" borderId="12" xfId="119" applyNumberFormat="1" applyFont="1" applyFill="1" applyBorder="1" applyAlignment="1">
      <alignment horizontal="right"/>
    </xf>
    <xf numFmtId="3" fontId="37" fillId="2" borderId="12" xfId="0" applyNumberFormat="1" applyFont="1" applyFill="1" applyBorder="1" applyAlignment="1">
      <alignment horizontal="right"/>
    </xf>
    <xf numFmtId="3" fontId="34" fillId="0" borderId="12" xfId="1" applyNumberFormat="1" applyFont="1" applyBorder="1" applyAlignment="1">
      <alignment horizontal="right"/>
    </xf>
    <xf numFmtId="3" fontId="37" fillId="0" borderId="12" xfId="1" applyNumberFormat="1" applyFont="1" applyFill="1" applyBorder="1" applyAlignment="1">
      <alignment horizontal="right"/>
    </xf>
    <xf numFmtId="4" fontId="45" fillId="38" borderId="12" xfId="0" applyNumberFormat="1" applyFont="1" applyFill="1" applyBorder="1" applyAlignment="1">
      <alignment horizontal="right" vertical="center" wrapText="1"/>
    </xf>
    <xf numFmtId="165" fontId="43" fillId="2" borderId="12" xfId="0" applyNumberFormat="1" applyFont="1" applyFill="1" applyBorder="1" applyAlignment="1">
      <alignment vertical="center"/>
    </xf>
    <xf numFmtId="4" fontId="34" fillId="0" borderId="12" xfId="0" applyNumberFormat="1" applyFont="1" applyBorder="1" applyAlignment="1">
      <alignment wrapText="1"/>
    </xf>
    <xf numFmtId="165" fontId="43" fillId="2" borderId="12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/>
    </xf>
    <xf numFmtId="4" fontId="37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3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4" fillId="2" borderId="12" xfId="0" applyNumberFormat="1" applyFont="1" applyFill="1" applyBorder="1" applyAlignment="1">
      <alignment horizontal="right"/>
    </xf>
    <xf numFmtId="43" fontId="41" fillId="2" borderId="12" xfId="1" applyFont="1" applyFill="1" applyBorder="1" applyAlignment="1">
      <alignment horizontal="right" vertical="center" wrapText="1"/>
    </xf>
    <xf numFmtId="4" fontId="34" fillId="2" borderId="12" xfId="0" applyNumberFormat="1" applyFont="1" applyFill="1" applyBorder="1"/>
    <xf numFmtId="3" fontId="34" fillId="2" borderId="12" xfId="1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wrapText="1"/>
    </xf>
    <xf numFmtId="3" fontId="34" fillId="2" borderId="12" xfId="0" applyNumberFormat="1" applyFont="1" applyFill="1" applyBorder="1"/>
    <xf numFmtId="4" fontId="34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4" fillId="38" borderId="47" xfId="1" applyNumberFormat="1" applyFont="1" applyFill="1" applyBorder="1" applyAlignment="1">
      <alignment horizontal="right"/>
    </xf>
    <xf numFmtId="1" fontId="34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4" fillId="2" borderId="12" xfId="0" applyNumberFormat="1" applyFont="1" applyFill="1" applyBorder="1"/>
    <xf numFmtId="1" fontId="33" fillId="0" borderId="12" xfId="0" applyNumberFormat="1" applyFont="1" applyBorder="1" applyAlignment="1">
      <alignment wrapText="1"/>
    </xf>
    <xf numFmtId="166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50" fillId="2" borderId="0" xfId="0" applyNumberFormat="1" applyFont="1" applyFill="1"/>
    <xf numFmtId="0" fontId="22" fillId="34" borderId="10" xfId="0" applyFont="1" applyFill="1" applyBorder="1"/>
    <xf numFmtId="0" fontId="50" fillId="2" borderId="0" xfId="0" applyFont="1" applyFill="1"/>
    <xf numFmtId="4" fontId="51" fillId="0" borderId="47" xfId="1" applyNumberFormat="1" applyFont="1" applyBorder="1" applyAlignment="1">
      <alignment horizontal="right"/>
    </xf>
    <xf numFmtId="4" fontId="52" fillId="38" borderId="47" xfId="1" applyNumberFormat="1" applyFont="1" applyFill="1" applyBorder="1" applyAlignment="1">
      <alignment horizontal="right"/>
    </xf>
    <xf numFmtId="4" fontId="52" fillId="2" borderId="47" xfId="119" applyNumberFormat="1" applyFont="1" applyFill="1" applyBorder="1" applyAlignment="1">
      <alignment horizontal="right"/>
    </xf>
    <xf numFmtId="4" fontId="53" fillId="0" borderId="13" xfId="139" applyNumberFormat="1" applyFont="1" applyBorder="1"/>
    <xf numFmtId="4" fontId="51" fillId="2" borderId="47" xfId="0" applyNumberFormat="1" applyFont="1" applyFill="1" applyBorder="1" applyAlignment="1">
      <alignment horizontal="right"/>
    </xf>
    <xf numFmtId="4" fontId="52" fillId="0" borderId="50" xfId="0" applyNumberFormat="1" applyFont="1" applyBorder="1" applyAlignment="1">
      <alignment wrapText="1"/>
    </xf>
    <xf numFmtId="4" fontId="52" fillId="0" borderId="47" xfId="1" applyNumberFormat="1" applyFont="1" applyBorder="1" applyAlignment="1">
      <alignment horizontal="right"/>
    </xf>
    <xf numFmtId="3" fontId="51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2" fillId="0" borderId="12" xfId="1" applyNumberFormat="1" applyFont="1" applyBorder="1" applyAlignment="1">
      <alignment horizontal="right"/>
    </xf>
    <xf numFmtId="3" fontId="51" fillId="0" borderId="12" xfId="1" applyNumberFormat="1" applyFont="1" applyFill="1" applyBorder="1" applyAlignment="1">
      <alignment horizontal="right"/>
    </xf>
    <xf numFmtId="4" fontId="52" fillId="0" borderId="12" xfId="0" applyNumberFormat="1" applyFont="1" applyBorder="1"/>
    <xf numFmtId="4" fontId="55" fillId="38" borderId="12" xfId="0" applyNumberFormat="1" applyFont="1" applyFill="1" applyBorder="1" applyAlignment="1">
      <alignment horizontal="right" vertical="center" wrapText="1"/>
    </xf>
    <xf numFmtId="4" fontId="52" fillId="0" borderId="12" xfId="0" applyNumberFormat="1" applyFont="1" applyBorder="1" applyAlignment="1">
      <alignment wrapText="1"/>
    </xf>
    <xf numFmtId="4" fontId="52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58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2" fillId="38" borderId="12" xfId="1" applyNumberFormat="1" applyFont="1" applyFill="1" applyBorder="1" applyAlignment="1">
      <alignment horizontal="right"/>
    </xf>
    <xf numFmtId="4" fontId="52" fillId="2" borderId="12" xfId="119" applyNumberFormat="1" applyFont="1" applyFill="1" applyBorder="1" applyAlignment="1">
      <alignment horizontal="right"/>
    </xf>
    <xf numFmtId="4" fontId="51" fillId="0" borderId="12" xfId="1" applyNumberFormat="1" applyFont="1" applyBorder="1" applyAlignment="1">
      <alignment horizontal="right"/>
    </xf>
    <xf numFmtId="4" fontId="52" fillId="38" borderId="12" xfId="119" applyNumberFormat="1" applyFont="1" applyFill="1" applyBorder="1" applyAlignment="1">
      <alignment horizontal="right"/>
    </xf>
    <xf numFmtId="4" fontId="51" fillId="2" borderId="12" xfId="0" applyNumberFormat="1" applyFont="1" applyFill="1" applyBorder="1" applyAlignment="1">
      <alignment horizontal="right"/>
    </xf>
    <xf numFmtId="4" fontId="52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right" vertical="center" wrapText="1"/>
    </xf>
    <xf numFmtId="4" fontId="53" fillId="2" borderId="12" xfId="0" applyNumberFormat="1" applyFont="1" applyFill="1" applyBorder="1" applyAlignment="1">
      <alignment vertical="center"/>
    </xf>
    <xf numFmtId="4" fontId="56" fillId="2" borderId="12" xfId="1" applyNumberFormat="1" applyFont="1" applyFill="1" applyBorder="1" applyAlignment="1">
      <alignment horizontal="right" vertical="center" wrapText="1"/>
    </xf>
    <xf numFmtId="4" fontId="51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/>
    </xf>
    <xf numFmtId="4" fontId="52" fillId="2" borderId="12" xfId="0" applyNumberFormat="1" applyFont="1" applyFill="1" applyBorder="1" applyAlignment="1">
      <alignment horizontal="right" vertical="center"/>
    </xf>
    <xf numFmtId="4" fontId="52" fillId="2" borderId="12" xfId="1" applyNumberFormat="1" applyFont="1" applyFill="1" applyBorder="1" applyAlignment="1">
      <alignment horizontal="right"/>
    </xf>
    <xf numFmtId="4" fontId="57" fillId="2" borderId="12" xfId="1" applyNumberFormat="1" applyFont="1" applyFill="1" applyBorder="1" applyAlignment="1">
      <alignment horizontal="right" vertical="center" wrapText="1"/>
    </xf>
    <xf numFmtId="4" fontId="54" fillId="2" borderId="12" xfId="0" applyNumberFormat="1" applyFont="1" applyFill="1" applyBorder="1" applyAlignment="1">
      <alignment vertical="center"/>
    </xf>
    <xf numFmtId="4" fontId="34" fillId="2" borderId="12" xfId="119" applyNumberFormat="1" applyFont="1" applyFill="1" applyBorder="1" applyAlignment="1">
      <alignment horizontal="right"/>
    </xf>
    <xf numFmtId="4" fontId="34" fillId="2" borderId="12" xfId="0" applyNumberFormat="1" applyFont="1" applyFill="1" applyBorder="1" applyAlignment="1">
      <alignment horizontal="right"/>
    </xf>
    <xf numFmtId="4" fontId="34" fillId="2" borderId="12" xfId="1" applyNumberFormat="1" applyFont="1" applyFill="1" applyBorder="1" applyAlignment="1">
      <alignment horizontal="right"/>
    </xf>
    <xf numFmtId="4" fontId="44" fillId="2" borderId="12" xfId="0" applyNumberFormat="1" applyFont="1" applyFill="1" applyBorder="1"/>
    <xf numFmtId="4" fontId="46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4" fontId="21" fillId="2" borderId="0" xfId="0" applyNumberFormat="1" applyFont="1" applyFill="1"/>
    <xf numFmtId="3" fontId="51" fillId="0" borderId="47" xfId="1" applyNumberFormat="1" applyFont="1" applyBorder="1" applyAlignment="1">
      <alignment horizontal="right"/>
    </xf>
    <xf numFmtId="3" fontId="52" fillId="38" borderId="47" xfId="1" applyNumberFormat="1" applyFont="1" applyFill="1" applyBorder="1" applyAlignment="1">
      <alignment horizontal="right"/>
    </xf>
    <xf numFmtId="3" fontId="52" fillId="2" borderId="47" xfId="119" applyNumberFormat="1" applyFont="1" applyFill="1" applyBorder="1" applyAlignment="1">
      <alignment horizontal="right"/>
    </xf>
    <xf numFmtId="3" fontId="53" fillId="0" borderId="13" xfId="139" applyNumberFormat="1" applyFont="1" applyBorder="1"/>
    <xf numFmtId="3" fontId="51" fillId="2" borderId="47" xfId="0" applyNumberFormat="1" applyFont="1" applyFill="1" applyBorder="1" applyAlignment="1">
      <alignment horizontal="right"/>
    </xf>
    <xf numFmtId="3" fontId="52" fillId="0" borderId="50" xfId="0" applyNumberFormat="1" applyFont="1" applyBorder="1" applyAlignment="1">
      <alignment wrapText="1"/>
    </xf>
    <xf numFmtId="3" fontId="52" fillId="0" borderId="47" xfId="1" applyNumberFormat="1" applyFont="1" applyBorder="1" applyAlignment="1">
      <alignment horizontal="right"/>
    </xf>
    <xf numFmtId="3" fontId="52" fillId="38" borderId="12" xfId="1" applyNumberFormat="1" applyFont="1" applyFill="1" applyBorder="1" applyAlignment="1">
      <alignment horizontal="right"/>
    </xf>
    <xf numFmtId="3" fontId="52" fillId="2" borderId="12" xfId="119" applyNumberFormat="1" applyFont="1" applyFill="1" applyBorder="1" applyAlignment="1">
      <alignment horizontal="right"/>
    </xf>
    <xf numFmtId="3" fontId="52" fillId="38" borderId="12" xfId="119" applyNumberFormat="1" applyFont="1" applyFill="1" applyBorder="1" applyAlignment="1">
      <alignment horizontal="right"/>
    </xf>
    <xf numFmtId="3" fontId="51" fillId="2" borderId="12" xfId="0" applyNumberFormat="1" applyFont="1" applyFill="1" applyBorder="1" applyAlignment="1">
      <alignment horizontal="right"/>
    </xf>
    <xf numFmtId="3" fontId="26" fillId="0" borderId="12" xfId="0" applyNumberFormat="1" applyFont="1" applyBorder="1"/>
    <xf numFmtId="3" fontId="0" fillId="0" borderId="51" xfId="1" applyNumberFormat="1" applyFont="1" applyBorder="1" applyProtection="1">
      <protection hidden="1"/>
    </xf>
    <xf numFmtId="164" fontId="0" fillId="0" borderId="51" xfId="1" applyNumberFormat="1" applyFont="1" applyBorder="1" applyProtection="1">
      <protection hidden="1"/>
    </xf>
    <xf numFmtId="3" fontId="21" fillId="0" borderId="51" xfId="1" applyNumberFormat="1" applyFont="1" applyBorder="1" applyProtection="1">
      <protection hidden="1"/>
    </xf>
    <xf numFmtId="4" fontId="21" fillId="0" borderId="51" xfId="1" applyNumberFormat="1" applyFont="1" applyBorder="1" applyAlignment="1" applyProtection="1">
      <protection hidden="1"/>
    </xf>
    <xf numFmtId="4" fontId="0" fillId="0" borderId="51" xfId="0" applyNumberFormat="1" applyBorder="1"/>
    <xf numFmtId="3" fontId="21" fillId="0" borderId="51" xfId="1" applyNumberFormat="1" applyFont="1" applyBorder="1" applyAlignment="1" applyProtection="1">
      <protection hidden="1"/>
    </xf>
    <xf numFmtId="0" fontId="0" fillId="0" borderId="51" xfId="0" applyBorder="1" applyProtection="1">
      <protection hidden="1"/>
    </xf>
    <xf numFmtId="3" fontId="0" fillId="0" borderId="51" xfId="0" applyNumberFormat="1" applyBorder="1" applyProtection="1">
      <protection hidden="1"/>
    </xf>
    <xf numFmtId="164" fontId="0" fillId="0" borderId="47" xfId="1" applyNumberFormat="1" applyFont="1" applyBorder="1" applyProtection="1">
      <protection hidden="1"/>
    </xf>
    <xf numFmtId="164" fontId="17" fillId="34" borderId="43" xfId="1" applyNumberFormat="1" applyFont="1" applyFill="1" applyBorder="1" applyProtection="1">
      <protection hidden="1"/>
    </xf>
    <xf numFmtId="164" fontId="17" fillId="34" borderId="43" xfId="1" applyNumberFormat="1" applyFont="1" applyFill="1" applyBorder="1" applyAlignment="1" applyProtection="1">
      <alignment horizontal="center"/>
      <protection hidden="1"/>
    </xf>
    <xf numFmtId="164" fontId="0" fillId="0" borderId="12" xfId="1" applyNumberFormat="1" applyFont="1" applyBorder="1" applyProtection="1">
      <protection hidden="1"/>
    </xf>
    <xf numFmtId="4" fontId="21" fillId="0" borderId="12" xfId="1" applyNumberFormat="1" applyFont="1" applyFill="1" applyBorder="1" applyAlignment="1" applyProtection="1">
      <protection hidden="1"/>
    </xf>
    <xf numFmtId="3" fontId="21" fillId="0" borderId="12" xfId="1" applyNumberFormat="1" applyFont="1" applyBorder="1" applyProtection="1">
      <protection hidden="1"/>
    </xf>
    <xf numFmtId="4" fontId="21" fillId="0" borderId="12" xfId="1" applyNumberFormat="1" applyFont="1" applyBorder="1" applyAlignment="1" applyProtection="1">
      <protection hidden="1"/>
    </xf>
    <xf numFmtId="4" fontId="21" fillId="0" borderId="12" xfId="1" applyNumberFormat="1" applyFont="1" applyBorder="1" applyAlignment="1" applyProtection="1">
      <alignment horizontal="right"/>
      <protection hidden="1"/>
    </xf>
    <xf numFmtId="4" fontId="0" fillId="0" borderId="12" xfId="1" applyNumberFormat="1" applyFont="1" applyBorder="1" applyAlignment="1" applyProtection="1">
      <protection hidden="1"/>
    </xf>
    <xf numFmtId="3" fontId="0" fillId="0" borderId="12" xfId="1" applyNumberFormat="1" applyFont="1" applyBorder="1" applyAlignment="1" applyProtection="1">
      <protection hidden="1"/>
    </xf>
    <xf numFmtId="4" fontId="0" fillId="0" borderId="12" xfId="1" applyNumberFormat="1" applyFont="1" applyBorder="1" applyAlignment="1" applyProtection="1">
      <alignment horizontal="right"/>
      <protection hidden="1"/>
    </xf>
    <xf numFmtId="3" fontId="0" fillId="0" borderId="12" xfId="0" applyNumberFormat="1" applyBorder="1" applyAlignment="1" applyProtection="1">
      <alignment horizontal="right"/>
      <protection hidden="1"/>
    </xf>
    <xf numFmtId="4" fontId="0" fillId="0" borderId="12" xfId="1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4" fontId="35" fillId="38" borderId="12" xfId="0" applyNumberFormat="1" applyFont="1" applyFill="1" applyBorder="1" applyAlignment="1">
      <alignment vertical="center" wrapText="1"/>
    </xf>
    <xf numFmtId="164" fontId="21" fillId="0" borderId="12" xfId="1" applyNumberFormat="1" applyFont="1" applyBorder="1" applyProtection="1">
      <protection hidden="1"/>
    </xf>
    <xf numFmtId="4" fontId="0" fillId="0" borderId="12" xfId="1" applyNumberFormat="1" applyFont="1" applyFill="1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4" fontId="35" fillId="38" borderId="12" xfId="0" applyNumberFormat="1" applyFont="1" applyFill="1" applyBorder="1" applyAlignment="1">
      <alignment horizontal="right" vertical="center" wrapText="1"/>
    </xf>
    <xf numFmtId="164" fontId="32" fillId="0" borderId="12" xfId="1" applyNumberFormat="1" applyFont="1" applyBorder="1" applyAlignment="1" applyProtection="1">
      <alignment horizontal="left"/>
      <protection hidden="1"/>
    </xf>
    <xf numFmtId="4" fontId="60" fillId="41" borderId="0" xfId="0" applyNumberFormat="1" applyFont="1" applyFill="1" applyAlignment="1">
      <alignment horizontal="right" vertical="center" wrapText="1"/>
    </xf>
    <xf numFmtId="3" fontId="26" fillId="2" borderId="12" xfId="0" applyNumberFormat="1" applyFont="1" applyFill="1" applyBorder="1"/>
    <xf numFmtId="3" fontId="54" fillId="2" borderId="12" xfId="0" applyNumberFormat="1" applyFont="1" applyFill="1" applyBorder="1" applyAlignment="1">
      <alignment horizontal="right" vertical="center" wrapText="1"/>
    </xf>
    <xf numFmtId="3" fontId="52" fillId="0" borderId="12" xfId="0" applyNumberFormat="1" applyFont="1" applyBorder="1"/>
    <xf numFmtId="3" fontId="55" fillId="38" borderId="12" xfId="0" applyNumberFormat="1" applyFont="1" applyFill="1" applyBorder="1" applyAlignment="1">
      <alignment horizontal="right" vertical="center" wrapText="1"/>
    </xf>
    <xf numFmtId="3" fontId="53" fillId="2" borderId="12" xfId="0" applyNumberFormat="1" applyFont="1" applyFill="1" applyBorder="1" applyAlignment="1">
      <alignment vertical="center"/>
    </xf>
    <xf numFmtId="3" fontId="52" fillId="0" borderId="12" xfId="0" applyNumberFormat="1" applyFont="1" applyBorder="1" applyAlignment="1">
      <alignment wrapText="1"/>
    </xf>
    <xf numFmtId="3" fontId="56" fillId="2" borderId="12" xfId="1" applyNumberFormat="1" applyFont="1" applyFill="1" applyBorder="1" applyAlignment="1">
      <alignment horizontal="right" vertical="center" wrapText="1"/>
    </xf>
    <xf numFmtId="3" fontId="52" fillId="2" borderId="12" xfId="0" applyNumberFormat="1" applyFont="1" applyFill="1" applyBorder="1"/>
    <xf numFmtId="3" fontId="51" fillId="2" borderId="12" xfId="0" applyNumberFormat="1" applyFont="1" applyFill="1" applyBorder="1"/>
    <xf numFmtId="3" fontId="52" fillId="2" borderId="12" xfId="0" applyNumberFormat="1" applyFont="1" applyFill="1" applyBorder="1" applyAlignment="1">
      <alignment horizontal="right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8"/>
  <sheetViews>
    <sheetView tabSelected="1" zoomScaleNormal="100" zoomScaleSheetLayoutView="80" workbookViewId="0">
      <pane xSplit="2" ySplit="5" topLeftCell="C43" activePane="bottomRight" state="frozen"/>
      <selection pane="topRight" activeCell="B1" sqref="B1"/>
      <selection pane="bottomLeft" activeCell="A6" sqref="A6"/>
      <selection pane="bottomRight" activeCell="G48" sqref="G48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5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3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64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65"/>
      <c r="B3" s="365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65"/>
      <c r="B4" s="365"/>
      <c r="C4" s="62"/>
      <c r="D4" s="64"/>
      <c r="E4" s="67"/>
      <c r="F4" s="69"/>
      <c r="G4" s="68"/>
      <c r="H4" s="68"/>
      <c r="I4" s="68"/>
      <c r="J4" s="68"/>
      <c r="K4" s="369" t="s">
        <v>868</v>
      </c>
      <c r="L4" s="69"/>
      <c r="M4" s="68"/>
      <c r="N4" s="68"/>
      <c r="O4" s="68"/>
      <c r="P4" s="68"/>
      <c r="Q4" s="367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66"/>
      <c r="B5" s="366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70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68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60">
        <v>2023</v>
      </c>
      <c r="B6" s="72" t="str">
        <f>IF(L!$A$1=1,L!B231,IF(L!$A$1=2,L!C231,L!D231))</f>
        <v>2023 Janar</v>
      </c>
      <c r="C6" s="86">
        <f t="shared" ref="C6:C18" si="0">E6+K6+Q6</f>
        <v>1258876.3699999999</v>
      </c>
      <c r="D6" s="86">
        <f t="shared" ref="D6:D17" si="1">+E6+K6+Q6</f>
        <v>1258876.3699999999</v>
      </c>
      <c r="E6" s="104">
        <f t="shared" ref="E6:E17" si="2">+F6+G6+H6+I6+J6</f>
        <v>206144.25</v>
      </c>
      <c r="F6" s="105">
        <v>155205.17000000001</v>
      </c>
      <c r="G6" s="113">
        <v>50939.08</v>
      </c>
      <c r="H6" s="135"/>
      <c r="I6" s="105"/>
      <c r="K6" s="93">
        <f t="shared" ref="K6" si="3">SUM(L6:P6)</f>
        <v>809051.09</v>
      </c>
      <c r="L6" s="94">
        <v>758997.96</v>
      </c>
      <c r="M6" s="137">
        <v>50053.13</v>
      </c>
      <c r="N6" s="141"/>
      <c r="O6" s="142"/>
      <c r="P6" s="142"/>
      <c r="Q6" s="143">
        <f t="shared" ref="Q6:Q11" si="4">SUM(R6:V6)</f>
        <v>243681.03</v>
      </c>
      <c r="R6" s="93">
        <v>225631.27</v>
      </c>
      <c r="S6" s="86">
        <v>18049.759999999998</v>
      </c>
      <c r="T6" s="91"/>
      <c r="U6" s="86"/>
      <c r="V6" s="86"/>
    </row>
    <row r="7" spans="1:22" x14ac:dyDescent="0.25">
      <c r="A7" s="360"/>
      <c r="B7" s="72" t="str">
        <f>IF(L!$A$1=1,L!B232,IF(L!$A$1=2,L!C232,L!D232))</f>
        <v>2023 Shkurt</v>
      </c>
      <c r="C7" s="73">
        <f t="shared" si="0"/>
        <v>2211413.23</v>
      </c>
      <c r="D7" s="86">
        <f t="shared" si="1"/>
        <v>2211413.23</v>
      </c>
      <c r="E7" s="104">
        <f t="shared" si="2"/>
        <v>545392.38</v>
      </c>
      <c r="F7" s="113">
        <v>210390</v>
      </c>
      <c r="G7" s="107">
        <v>189061.04</v>
      </c>
      <c r="H7" s="113">
        <v>100058.59</v>
      </c>
      <c r="I7" s="107">
        <v>11500</v>
      </c>
      <c r="J7" s="113">
        <v>34382.75</v>
      </c>
      <c r="K7" s="73">
        <f t="shared" ref="K7" si="5">SUM(L7:P7)</f>
        <v>1319166.6000000001</v>
      </c>
      <c r="L7" s="93">
        <v>1144159.77</v>
      </c>
      <c r="M7" s="138">
        <v>148955.53</v>
      </c>
      <c r="N7" s="144">
        <v>26051.3</v>
      </c>
      <c r="O7" s="145"/>
      <c r="P7" s="142"/>
      <c r="Q7" s="146">
        <f t="shared" si="4"/>
        <v>346854.25</v>
      </c>
      <c r="R7" s="86">
        <v>265266.90999999997</v>
      </c>
      <c r="S7" s="92">
        <v>61441.57</v>
      </c>
      <c r="T7" s="113">
        <v>20145.77</v>
      </c>
      <c r="U7" s="92"/>
      <c r="V7" s="86"/>
    </row>
    <row r="8" spans="1:22" x14ac:dyDescent="0.25">
      <c r="A8" s="360"/>
      <c r="B8" s="72" t="str">
        <f>IF(L!$A$1=1,L!B233,IF(L!$A$1=2,L!C233,L!D233))</f>
        <v xml:space="preserve">2023 Mars </v>
      </c>
      <c r="C8" s="73">
        <f t="shared" si="0"/>
        <v>2365501.2400000002</v>
      </c>
      <c r="D8" s="73">
        <f t="shared" si="1"/>
        <v>2365501.2400000002</v>
      </c>
      <c r="E8" s="104">
        <f t="shared" si="2"/>
        <v>680342.57000000007</v>
      </c>
      <c r="F8" s="105">
        <v>201201.48</v>
      </c>
      <c r="G8" s="113">
        <f>306253.46</f>
        <v>306253.46000000002</v>
      </c>
      <c r="H8" s="113">
        <v>47696.329999999994</v>
      </c>
      <c r="I8" s="107">
        <v>29200</v>
      </c>
      <c r="J8" s="106">
        <v>95991.3</v>
      </c>
      <c r="K8" s="73">
        <f>SUM(L8:P8)</f>
        <v>1332748.9200000002</v>
      </c>
      <c r="L8" s="93">
        <v>1137569.82</v>
      </c>
      <c r="M8" s="139">
        <f>124317.82-120</f>
        <v>124197.82</v>
      </c>
      <c r="N8" s="147">
        <v>24977.279999999999</v>
      </c>
      <c r="O8" s="145"/>
      <c r="P8" s="148">
        <v>46004</v>
      </c>
      <c r="Q8" s="146">
        <f t="shared" si="4"/>
        <v>352409.75</v>
      </c>
      <c r="R8" s="86">
        <v>264294.38</v>
      </c>
      <c r="S8" s="113">
        <v>64747.8</v>
      </c>
      <c r="T8" s="92">
        <v>23367.57</v>
      </c>
      <c r="U8" s="92"/>
      <c r="V8" s="86"/>
    </row>
    <row r="9" spans="1:22" x14ac:dyDescent="0.25">
      <c r="A9" s="360"/>
      <c r="B9" s="72" t="str">
        <f>IF(L!$A$1=1,L!B234,IF(L!$A$1=2,L!C234,L!D234))</f>
        <v>2023 Prill</v>
      </c>
      <c r="C9" s="73">
        <f t="shared" si="0"/>
        <v>2095758.0199999998</v>
      </c>
      <c r="D9" s="73">
        <f t="shared" si="1"/>
        <v>2095758.0199999998</v>
      </c>
      <c r="E9" s="104">
        <f t="shared" si="2"/>
        <v>624396.1</v>
      </c>
      <c r="F9" s="113">
        <v>205286.71999999997</v>
      </c>
      <c r="G9" s="113">
        <f>200795.43-5809</f>
        <v>194986.43</v>
      </c>
      <c r="H9" s="113">
        <v>41072.239999999998</v>
      </c>
      <c r="I9" s="105">
        <v>50350</v>
      </c>
      <c r="J9" s="106">
        <v>132700.71000000002</v>
      </c>
      <c r="K9" s="73">
        <f t="shared" ref="K9:K17" si="6">SUM(L9:P9)</f>
        <v>1124800.53</v>
      </c>
      <c r="L9" s="93">
        <v>910969.26</v>
      </c>
      <c r="M9" s="140">
        <v>117026.03</v>
      </c>
      <c r="N9" s="149">
        <v>19861.439999999999</v>
      </c>
      <c r="O9" s="149"/>
      <c r="P9" s="58">
        <v>76943.8</v>
      </c>
      <c r="Q9" s="146">
        <f t="shared" si="4"/>
        <v>346561.38999999996</v>
      </c>
      <c r="R9" s="136">
        <v>259424.57</v>
      </c>
      <c r="S9" s="86">
        <v>44086.719999999994</v>
      </c>
      <c r="T9" s="113">
        <v>13050.1</v>
      </c>
      <c r="U9" s="86"/>
      <c r="V9" s="86">
        <v>30000</v>
      </c>
    </row>
    <row r="10" spans="1:22" x14ac:dyDescent="0.25">
      <c r="A10" s="360"/>
      <c r="B10" s="72" t="str">
        <f>IF(L!$A$1=1,L!B235,IF(L!$A$1=2,L!C235,L!D235))</f>
        <v>2023 Maj</v>
      </c>
      <c r="C10" s="73">
        <f t="shared" si="0"/>
        <v>2421186.5299999998</v>
      </c>
      <c r="D10" s="73">
        <f t="shared" si="1"/>
        <v>2421186.5299999998</v>
      </c>
      <c r="E10" s="104">
        <f t="shared" si="2"/>
        <v>895968.74</v>
      </c>
      <c r="F10" s="113">
        <v>207284.42000000004</v>
      </c>
      <c r="G10" s="108">
        <v>141181.59</v>
      </c>
      <c r="H10" s="115">
        <v>41914.069999999985</v>
      </c>
      <c r="I10" s="108">
        <v>60569</v>
      </c>
      <c r="J10" s="109">
        <v>445019.66</v>
      </c>
      <c r="K10" s="73">
        <f t="shared" si="6"/>
        <v>1104411.98</v>
      </c>
      <c r="L10" s="86">
        <v>919833.93</v>
      </c>
      <c r="M10" s="137">
        <v>168943.39</v>
      </c>
      <c r="N10" s="150">
        <v>15634.66</v>
      </c>
      <c r="O10" s="142"/>
      <c r="P10" s="142"/>
      <c r="Q10" s="146">
        <f t="shared" si="4"/>
        <v>420805.81</v>
      </c>
      <c r="R10" s="86">
        <v>273945.86</v>
      </c>
      <c r="S10" s="113">
        <v>66164.12</v>
      </c>
      <c r="T10" s="86">
        <v>12395.83</v>
      </c>
      <c r="U10" s="86">
        <f>68700-400</f>
        <v>68300</v>
      </c>
      <c r="V10" s="113"/>
    </row>
    <row r="11" spans="1:22" x14ac:dyDescent="0.25">
      <c r="A11" s="360"/>
      <c r="B11" s="72" t="str">
        <f>IF(L!$A$1=1,L!B236,IF(L!$A$1=2,L!C236,L!D236))</f>
        <v>2023 Qershor</v>
      </c>
      <c r="C11" s="73">
        <f t="shared" si="0"/>
        <v>2490510.7599999998</v>
      </c>
      <c r="D11" s="73">
        <f t="shared" si="1"/>
        <v>2490510.7599999998</v>
      </c>
      <c r="E11" s="104">
        <f t="shared" si="2"/>
        <v>1032887.2000000001</v>
      </c>
      <c r="F11" s="108">
        <v>226829.52000000002</v>
      </c>
      <c r="G11" s="108">
        <v>138968.9</v>
      </c>
      <c r="H11" s="113">
        <v>35660.42</v>
      </c>
      <c r="I11" s="108">
        <v>282400</v>
      </c>
      <c r="J11" s="113">
        <f>+J10-J8</f>
        <v>349028.36</v>
      </c>
      <c r="K11" s="73">
        <f t="shared" si="6"/>
        <v>1082061.7</v>
      </c>
      <c r="L11" s="86">
        <v>920241.53</v>
      </c>
      <c r="M11" s="137">
        <v>88304.98</v>
      </c>
      <c r="N11" s="151">
        <v>10627.19</v>
      </c>
      <c r="O11" s="151"/>
      <c r="P11" s="151">
        <v>62888</v>
      </c>
      <c r="Q11" s="152">
        <f t="shared" si="4"/>
        <v>375561.86</v>
      </c>
      <c r="R11" s="86">
        <v>275947.74</v>
      </c>
      <c r="S11" s="86">
        <v>73171.73000000001</v>
      </c>
      <c r="T11" s="86">
        <v>6592.39</v>
      </c>
      <c r="U11" s="86">
        <v>19850</v>
      </c>
      <c r="V11" s="86"/>
    </row>
    <row r="12" spans="1:22" x14ac:dyDescent="0.25">
      <c r="A12" s="360"/>
      <c r="B12" s="72" t="str">
        <f>IF(L!$A$1=1,L!B237,IF(L!$A$1=2,L!C237,L!D237))</f>
        <v>2023 Korrik</v>
      </c>
      <c r="C12" s="73">
        <f t="shared" si="0"/>
        <v>5262154.2299999995</v>
      </c>
      <c r="D12" s="73">
        <f t="shared" si="1"/>
        <v>5262154.2299999995</v>
      </c>
      <c r="E12" s="104">
        <f t="shared" si="2"/>
        <v>1887726.98</v>
      </c>
      <c r="F12" s="113">
        <v>207571.74</v>
      </c>
      <c r="G12" s="115">
        <v>270062.30000000005</v>
      </c>
      <c r="H12" s="115">
        <v>33834.04</v>
      </c>
      <c r="I12" s="91">
        <v>63800</v>
      </c>
      <c r="J12" s="116">
        <v>1312458.8999999999</v>
      </c>
      <c r="K12" s="73">
        <f t="shared" si="6"/>
        <v>2967268.19</v>
      </c>
      <c r="L12" s="86">
        <v>2752521.41</v>
      </c>
      <c r="M12" s="113">
        <v>105949.96</v>
      </c>
      <c r="N12" s="86">
        <v>11869.52</v>
      </c>
      <c r="O12" s="86"/>
      <c r="P12" s="189">
        <v>96927.3</v>
      </c>
      <c r="Q12" s="73">
        <f>SUM(R12:V12)</f>
        <v>407159.06</v>
      </c>
      <c r="R12" s="86">
        <v>294198.92</v>
      </c>
      <c r="S12" s="190">
        <v>68579.569999999992</v>
      </c>
      <c r="T12" s="113">
        <v>5484.17</v>
      </c>
      <c r="U12" s="73"/>
      <c r="V12" s="113">
        <v>38896.400000000001</v>
      </c>
    </row>
    <row r="13" spans="1:22" x14ac:dyDescent="0.25">
      <c r="A13" s="360"/>
      <c r="B13" s="72" t="str">
        <f>IF(L!$A$1=1,L!B238,IF(L!$A$1=2,L!C238,L!D238))</f>
        <v>2023 Gusht</v>
      </c>
      <c r="C13" s="73">
        <f t="shared" si="0"/>
        <v>3512887.8200000003</v>
      </c>
      <c r="D13" s="73">
        <f t="shared" si="1"/>
        <v>3512887.8200000003</v>
      </c>
      <c r="E13" s="104">
        <f t="shared" si="2"/>
        <v>1732806.9700000002</v>
      </c>
      <c r="F13" s="84">
        <v>248671.91999999998</v>
      </c>
      <c r="G13" s="113">
        <v>244576.15000000002</v>
      </c>
      <c r="H13" s="86">
        <v>33129.290000000008</v>
      </c>
      <c r="I13" s="84">
        <v>94545</v>
      </c>
      <c r="J13" s="109">
        <v>1111884.6100000001</v>
      </c>
      <c r="K13" s="73">
        <f t="shared" si="6"/>
        <v>1365954.76</v>
      </c>
      <c r="L13" s="85">
        <v>1257432.0900000001</v>
      </c>
      <c r="M13" s="85">
        <v>57551.43</v>
      </c>
      <c r="N13" s="87">
        <v>10971.24</v>
      </c>
      <c r="O13" s="85"/>
      <c r="P13" s="113">
        <v>40000</v>
      </c>
      <c r="Q13" s="73">
        <f>SUM(R13:V13)</f>
        <v>414126.08999999997</v>
      </c>
      <c r="R13" s="86">
        <v>275474.81</v>
      </c>
      <c r="S13" s="113">
        <v>55032.869999999995</v>
      </c>
      <c r="T13" s="73">
        <v>6118.41</v>
      </c>
      <c r="U13" s="73"/>
      <c r="V13" s="73">
        <v>77500</v>
      </c>
    </row>
    <row r="14" spans="1:22" x14ac:dyDescent="0.25">
      <c r="A14" s="360"/>
      <c r="B14" s="72" t="str">
        <f>IF(L!$A$1=1,L!B239,IF(L!$A$1=2,L!C239,L!D239))</f>
        <v>2023 Shtator</v>
      </c>
      <c r="C14" s="73">
        <f t="shared" si="0"/>
        <v>3634263.2600000002</v>
      </c>
      <c r="D14" s="73">
        <f t="shared" si="1"/>
        <v>3634263.2600000002</v>
      </c>
      <c r="E14" s="104">
        <f t="shared" si="2"/>
        <v>2222802.5300000003</v>
      </c>
      <c r="F14" s="84">
        <v>226562.04</v>
      </c>
      <c r="G14" s="84">
        <f>102074.09-490.26</f>
        <v>101583.83</v>
      </c>
      <c r="H14" s="86">
        <v>33817.61</v>
      </c>
      <c r="I14" s="84">
        <v>92700</v>
      </c>
      <c r="J14" s="84">
        <v>1768139.05</v>
      </c>
      <c r="K14" s="73">
        <f t="shared" si="6"/>
        <v>990144.04999999993</v>
      </c>
      <c r="L14" s="84">
        <v>868263.7</v>
      </c>
      <c r="M14" s="84">
        <v>77959.97</v>
      </c>
      <c r="N14" s="58">
        <v>8568.3799999999992</v>
      </c>
      <c r="O14" s="84"/>
      <c r="P14" s="84">
        <v>35352</v>
      </c>
      <c r="Q14" s="73">
        <f t="shared" ref="Q14:Q19" si="7">SUM(R14:V14)</f>
        <v>421316.68</v>
      </c>
      <c r="R14" s="73">
        <f>268034.79+500-9.73</f>
        <v>268525.06</v>
      </c>
      <c r="S14" s="73">
        <v>41640.97</v>
      </c>
      <c r="T14" s="73">
        <v>5424.9699999999993</v>
      </c>
      <c r="U14" s="73"/>
      <c r="V14" s="73">
        <v>105725.68</v>
      </c>
    </row>
    <row r="15" spans="1:22" x14ac:dyDescent="0.25">
      <c r="A15" s="361"/>
      <c r="B15" s="72" t="str">
        <f>IF(L!$A$1=1,L!B240,IF(L!$A$1=2,L!C240,L!D240))</f>
        <v>2023 Tetor</v>
      </c>
      <c r="C15" s="73">
        <f t="shared" si="0"/>
        <v>4576225.1400000006</v>
      </c>
      <c r="D15" s="73">
        <f t="shared" si="1"/>
        <v>4576225.1400000006</v>
      </c>
      <c r="E15" s="104">
        <f t="shared" si="2"/>
        <v>2731428.68</v>
      </c>
      <c r="F15" s="113">
        <f>224612.03-19214.75</f>
        <v>205397.28</v>
      </c>
      <c r="G15" s="84">
        <v>192370.33</v>
      </c>
      <c r="H15" s="86">
        <v>36182.17</v>
      </c>
      <c r="I15" s="84">
        <v>46494.009999999995</v>
      </c>
      <c r="J15" s="84">
        <v>2250984.89</v>
      </c>
      <c r="K15" s="73">
        <f t="shared" si="6"/>
        <v>1439486.23</v>
      </c>
      <c r="L15" s="73">
        <v>940441.9</v>
      </c>
      <c r="M15" s="103">
        <v>129162</v>
      </c>
      <c r="N15" s="134">
        <v>13719.51</v>
      </c>
      <c r="O15" s="103"/>
      <c r="P15" s="103">
        <v>356162.82</v>
      </c>
      <c r="Q15" s="73">
        <f t="shared" si="7"/>
        <v>405310.23000000004</v>
      </c>
      <c r="R15" s="73">
        <v>269825.26</v>
      </c>
      <c r="S15" s="192">
        <v>77539.8</v>
      </c>
      <c r="T15" s="73">
        <v>3820.53</v>
      </c>
      <c r="U15" s="73">
        <f>10739.2</f>
        <v>10739.2</v>
      </c>
      <c r="V15" s="73">
        <v>43385.440000000002</v>
      </c>
    </row>
    <row r="16" spans="1:22" x14ac:dyDescent="0.25">
      <c r="A16" s="361"/>
      <c r="B16" s="72" t="str">
        <f>IF(L!$A$1=1,L!B241,IF(L!$A$1=2,L!C241,L!D241))</f>
        <v xml:space="preserve">2023 Nëntor </v>
      </c>
      <c r="C16" s="73">
        <f t="shared" si="0"/>
        <v>3892107.3400000003</v>
      </c>
      <c r="D16" s="73">
        <f t="shared" si="1"/>
        <v>3892107.3400000003</v>
      </c>
      <c r="E16" s="104">
        <f t="shared" si="2"/>
        <v>2186365.94</v>
      </c>
      <c r="F16" s="110">
        <v>245439.64</v>
      </c>
      <c r="G16" s="111">
        <f>192701.85-1000</f>
        <v>191701.85</v>
      </c>
      <c r="H16" s="86">
        <v>48209.319999999992</v>
      </c>
      <c r="I16" s="84">
        <v>4600</v>
      </c>
      <c r="J16" s="84">
        <v>1696415.13</v>
      </c>
      <c r="K16" s="73">
        <f t="shared" si="6"/>
        <v>1335339.9700000002</v>
      </c>
      <c r="L16" s="73">
        <v>919266.26</v>
      </c>
      <c r="M16" s="73">
        <v>190673.09</v>
      </c>
      <c r="N16" s="86">
        <v>12804.86</v>
      </c>
      <c r="O16" s="73"/>
      <c r="P16" s="155">
        <v>212595.76</v>
      </c>
      <c r="Q16" s="73">
        <f t="shared" si="7"/>
        <v>370401.43</v>
      </c>
      <c r="R16" s="113">
        <v>268380.13</v>
      </c>
      <c r="S16" s="73">
        <v>43254.560000000005</v>
      </c>
      <c r="T16" s="73">
        <v>8556.75</v>
      </c>
      <c r="U16" s="73">
        <v>1400</v>
      </c>
      <c r="V16" s="133">
        <v>48809.99</v>
      </c>
    </row>
    <row r="17" spans="1:22" x14ac:dyDescent="0.25">
      <c r="A17" s="361"/>
      <c r="B17" s="72" t="str">
        <f>IF(L!$A$1=1,L!B242,IF(L!$A$1=2,L!C242,L!D242))</f>
        <v>2023 Dhjetor</v>
      </c>
      <c r="C17" s="73">
        <f t="shared" si="0"/>
        <v>6519943.6200000001</v>
      </c>
      <c r="D17" s="73">
        <f t="shared" si="1"/>
        <v>6519943.6200000001</v>
      </c>
      <c r="E17" s="104">
        <f t="shared" si="2"/>
        <v>4030276.7100000004</v>
      </c>
      <c r="F17" s="88">
        <v>254333.20000000007</v>
      </c>
      <c r="G17" s="73">
        <v>297272.22000000003</v>
      </c>
      <c r="H17" s="86">
        <v>103297.34000000001</v>
      </c>
      <c r="I17" s="73">
        <v>123229.27</v>
      </c>
      <c r="J17" s="73">
        <v>3252144.68</v>
      </c>
      <c r="K17" s="73">
        <f t="shared" si="6"/>
        <v>1607078.31</v>
      </c>
      <c r="L17" s="73">
        <v>924064.52999999991</v>
      </c>
      <c r="M17" s="73">
        <v>248238.48</v>
      </c>
      <c r="N17" s="86">
        <v>24153.06</v>
      </c>
      <c r="O17" s="73"/>
      <c r="P17" s="73">
        <v>410622.24</v>
      </c>
      <c r="Q17" s="73">
        <f t="shared" si="7"/>
        <v>882588.59999999986</v>
      </c>
      <c r="R17" s="73">
        <v>302744.80999999994</v>
      </c>
      <c r="S17" s="73">
        <v>41855.549999999996</v>
      </c>
      <c r="T17" s="73">
        <v>70497.899999999994</v>
      </c>
      <c r="U17" s="73"/>
      <c r="V17" s="73">
        <v>467490.34</v>
      </c>
    </row>
    <row r="18" spans="1:22" x14ac:dyDescent="0.25">
      <c r="A18" s="362"/>
      <c r="B18" s="74" t="str">
        <f>IF(L!$A$1=1,L!B243,IF(L!$A$1=2,L!C243,L!D243))</f>
        <v>Gjithsej 2023</v>
      </c>
      <c r="C18" s="75">
        <f t="shared" si="0"/>
        <v>40240827.560000002</v>
      </c>
      <c r="D18" s="76">
        <f>SUM(D6:D17)</f>
        <v>40240827.560000002</v>
      </c>
      <c r="E18" s="76">
        <f t="shared" ref="E18:V18" si="8">SUM(E6:E17)</f>
        <v>18776539.050000001</v>
      </c>
      <c r="F18" s="76">
        <f t="shared" si="8"/>
        <v>2594173.1300000004</v>
      </c>
      <c r="G18" s="76">
        <f t="shared" si="8"/>
        <v>2318957.1800000006</v>
      </c>
      <c r="H18" s="76">
        <f t="shared" si="8"/>
        <v>554871.41999999993</v>
      </c>
      <c r="I18" s="76">
        <f t="shared" si="8"/>
        <v>859387.28</v>
      </c>
      <c r="J18" s="76">
        <f t="shared" si="8"/>
        <v>12449150.039999999</v>
      </c>
      <c r="K18" s="76">
        <f t="shared" si="8"/>
        <v>16477512.330000004</v>
      </c>
      <c r="L18" s="76">
        <f t="shared" si="8"/>
        <v>13453762.159999998</v>
      </c>
      <c r="M18" s="76">
        <f t="shared" si="8"/>
        <v>1507015.81</v>
      </c>
      <c r="N18" s="76">
        <f t="shared" si="8"/>
        <v>179238.44</v>
      </c>
      <c r="O18" s="76">
        <f t="shared" si="8"/>
        <v>0</v>
      </c>
      <c r="P18" s="76">
        <f t="shared" si="8"/>
        <v>1337495.92</v>
      </c>
      <c r="Q18" s="76">
        <f t="shared" si="8"/>
        <v>4986776.18</v>
      </c>
      <c r="R18" s="76">
        <f t="shared" si="8"/>
        <v>3243659.7199999993</v>
      </c>
      <c r="S18" s="76">
        <f t="shared" si="8"/>
        <v>655565.02000000014</v>
      </c>
      <c r="T18" s="76">
        <f t="shared" si="8"/>
        <v>175454.38999999998</v>
      </c>
      <c r="U18" s="76">
        <f t="shared" si="8"/>
        <v>100289.2</v>
      </c>
      <c r="V18" s="76">
        <f t="shared" si="8"/>
        <v>811807.85000000009</v>
      </c>
    </row>
    <row r="19" spans="1:22" x14ac:dyDescent="0.25">
      <c r="A19" s="360">
        <v>2024</v>
      </c>
      <c r="B19" s="72" t="s">
        <v>881</v>
      </c>
      <c r="C19" s="175">
        <f t="shared" ref="C19:C31" si="9">E19+K19+Q19</f>
        <v>3596291.4999999995</v>
      </c>
      <c r="D19" s="205">
        <f t="shared" ref="D19:D30" si="10">+E19+K19+Q19</f>
        <v>3596291.4999999995</v>
      </c>
      <c r="E19" s="206">
        <f t="shared" ref="E19:E30" si="11">+F19+G19+H19+I19+J19</f>
        <v>492190.75000000017</v>
      </c>
      <c r="F19" s="207">
        <v>261975.89000000019</v>
      </c>
      <c r="G19" s="176">
        <v>166112.17000000001</v>
      </c>
      <c r="H19" s="177">
        <v>64102.69</v>
      </c>
      <c r="I19" s="207"/>
      <c r="J19" s="208"/>
      <c r="K19" s="94">
        <f t="shared" ref="K19" si="12">SUM(L19:P19)</f>
        <v>2809688.0999999996</v>
      </c>
      <c r="L19" s="94">
        <v>2797371.26</v>
      </c>
      <c r="M19" s="175"/>
      <c r="N19" s="178">
        <v>12316.84</v>
      </c>
      <c r="O19" s="175"/>
      <c r="P19" s="175"/>
      <c r="Q19" s="205">
        <f t="shared" si="7"/>
        <v>294412.65000000002</v>
      </c>
      <c r="R19" s="94">
        <v>276302.08000000002</v>
      </c>
      <c r="S19" s="175">
        <v>1949</v>
      </c>
      <c r="T19" s="178">
        <v>16161.57</v>
      </c>
      <c r="U19" s="175"/>
      <c r="V19" s="175"/>
    </row>
    <row r="20" spans="1:22" x14ac:dyDescent="0.25">
      <c r="A20" s="360"/>
      <c r="B20" s="72" t="s">
        <v>882</v>
      </c>
      <c r="C20" s="73">
        <f t="shared" si="9"/>
        <v>2410968.73</v>
      </c>
      <c r="D20" s="73">
        <f t="shared" si="10"/>
        <v>2410968.73</v>
      </c>
      <c r="E20" s="181">
        <f t="shared" si="11"/>
        <v>944781.66999999993</v>
      </c>
      <c r="F20" s="179">
        <v>233743.21</v>
      </c>
      <c r="G20" s="107">
        <v>387579.9</v>
      </c>
      <c r="H20" s="179">
        <v>58184.62000000001</v>
      </c>
      <c r="I20" s="107">
        <v>39289.199999999997</v>
      </c>
      <c r="J20" s="179">
        <v>225984.74</v>
      </c>
      <c r="K20" s="73">
        <f t="shared" ref="K20" si="13">SUM(L20:P20)</f>
        <v>1090829.27</v>
      </c>
      <c r="L20" s="93">
        <v>957547.44000000006</v>
      </c>
      <c r="M20" s="92">
        <v>111657.40999999999</v>
      </c>
      <c r="N20" s="179">
        <v>21624.42</v>
      </c>
      <c r="O20" s="92"/>
      <c r="P20" s="86"/>
      <c r="Q20" s="73">
        <f t="shared" ref="Q20:Q24" si="14">SUM(R20:V20)</f>
        <v>375357.78999999992</v>
      </c>
      <c r="R20" s="86">
        <v>289980.29999999993</v>
      </c>
      <c r="S20" s="92">
        <v>51823.7</v>
      </c>
      <c r="T20" s="179">
        <v>33553.79</v>
      </c>
      <c r="U20" s="92"/>
      <c r="V20" s="86"/>
    </row>
    <row r="21" spans="1:22" x14ac:dyDescent="0.25">
      <c r="A21" s="360"/>
      <c r="B21" s="72" t="s">
        <v>883</v>
      </c>
      <c r="C21" s="73">
        <f t="shared" si="9"/>
        <v>2680311.94</v>
      </c>
      <c r="D21" s="73">
        <f t="shared" si="10"/>
        <v>2680311.94</v>
      </c>
      <c r="E21" s="181">
        <f t="shared" si="11"/>
        <v>1246859.4299999997</v>
      </c>
      <c r="F21" s="105">
        <v>239779.06</v>
      </c>
      <c r="G21" s="179">
        <v>290913.01999999984</v>
      </c>
      <c r="H21" s="179">
        <v>55014.22</v>
      </c>
      <c r="I21" s="107">
        <v>48050</v>
      </c>
      <c r="J21" s="106">
        <v>613103.13</v>
      </c>
      <c r="K21" s="73">
        <f>SUM(L21:P21)</f>
        <v>1057594.4500000002</v>
      </c>
      <c r="L21" s="93">
        <v>962562.85000000009</v>
      </c>
      <c r="M21" s="180">
        <v>70146.680000000139</v>
      </c>
      <c r="N21" s="180">
        <v>24884.92</v>
      </c>
      <c r="O21" s="92"/>
      <c r="P21" s="72"/>
      <c r="Q21" s="73">
        <f t="shared" si="14"/>
        <v>375858.06</v>
      </c>
      <c r="R21" s="86">
        <v>286150.15999999997</v>
      </c>
      <c r="S21" s="179">
        <v>55593.71</v>
      </c>
      <c r="T21" s="92">
        <v>21114.19</v>
      </c>
      <c r="U21" s="92">
        <v>13000</v>
      </c>
      <c r="V21" s="86"/>
    </row>
    <row r="22" spans="1:22" x14ac:dyDescent="0.25">
      <c r="A22" s="360"/>
      <c r="B22" s="72" t="s">
        <v>884</v>
      </c>
      <c r="C22" s="195">
        <f t="shared" si="9"/>
        <v>3480931.84</v>
      </c>
      <c r="D22" s="195">
        <f t="shared" si="10"/>
        <v>3480931.84</v>
      </c>
      <c r="E22" s="196">
        <f t="shared" si="11"/>
        <v>1344587.52</v>
      </c>
      <c r="F22" s="113">
        <v>233095.45</v>
      </c>
      <c r="G22" s="113">
        <v>252408.84000000003</v>
      </c>
      <c r="H22" s="113">
        <v>73241.459999999992</v>
      </c>
      <c r="I22" s="197">
        <v>124870</v>
      </c>
      <c r="J22" s="198">
        <v>660971.77</v>
      </c>
      <c r="K22" s="195">
        <f t="shared" ref="K22:K30" si="15">SUM(L22:P22)</f>
        <v>1690888.92</v>
      </c>
      <c r="L22" s="199">
        <v>1519666.74</v>
      </c>
      <c r="M22" s="200">
        <v>114882.39999999997</v>
      </c>
      <c r="N22" s="201">
        <v>12279.28</v>
      </c>
      <c r="O22" s="201"/>
      <c r="P22" s="58">
        <v>44060.5</v>
      </c>
      <c r="Q22" s="202">
        <f t="shared" si="14"/>
        <v>445455.39999999997</v>
      </c>
      <c r="R22" s="203">
        <v>281201.8</v>
      </c>
      <c r="S22" s="204">
        <v>91281.17</v>
      </c>
      <c r="T22" s="113">
        <v>12769.58</v>
      </c>
      <c r="U22" s="204">
        <v>16500</v>
      </c>
      <c r="V22" s="204">
        <v>43702.85</v>
      </c>
    </row>
    <row r="23" spans="1:22" x14ac:dyDescent="0.25">
      <c r="A23" s="360"/>
      <c r="B23" s="72" t="s">
        <v>885</v>
      </c>
      <c r="C23" s="73">
        <f t="shared" si="9"/>
        <v>3152540.4</v>
      </c>
      <c r="D23" s="73">
        <f t="shared" si="10"/>
        <v>3152540.4</v>
      </c>
      <c r="E23" s="104">
        <f t="shared" si="11"/>
        <v>1566958.5</v>
      </c>
      <c r="F23" s="113">
        <v>224304.90999999992</v>
      </c>
      <c r="G23" s="108">
        <v>370821</v>
      </c>
      <c r="H23" s="115">
        <v>61640.08</v>
      </c>
      <c r="I23" s="108">
        <v>140044.01</v>
      </c>
      <c r="J23" s="109">
        <v>770148.5</v>
      </c>
      <c r="K23" s="73">
        <f t="shared" si="15"/>
        <v>1169088.6400000001</v>
      </c>
      <c r="L23" s="86">
        <v>1064255.75</v>
      </c>
      <c r="M23" s="137">
        <v>59639.73</v>
      </c>
      <c r="N23" s="150">
        <v>9987.56</v>
      </c>
      <c r="O23" s="142"/>
      <c r="P23" s="142">
        <v>35205.599999999999</v>
      </c>
      <c r="Q23" s="202">
        <f t="shared" si="14"/>
        <v>416493.25999999995</v>
      </c>
      <c r="R23" s="86">
        <v>296993.21999999997</v>
      </c>
      <c r="S23" s="113">
        <v>44988.84</v>
      </c>
      <c r="T23" s="86">
        <v>8011.2</v>
      </c>
      <c r="U23" s="86">
        <v>66500</v>
      </c>
      <c r="V23" s="113"/>
    </row>
    <row r="24" spans="1:22" x14ac:dyDescent="0.25">
      <c r="A24" s="360"/>
      <c r="B24" s="72" t="s">
        <v>886</v>
      </c>
      <c r="C24" s="73">
        <f t="shared" si="9"/>
        <v>3595001.8699999996</v>
      </c>
      <c r="D24" s="73">
        <f t="shared" si="10"/>
        <v>3595001.8699999996</v>
      </c>
      <c r="E24" s="104">
        <f t="shared" si="11"/>
        <v>1159798.76</v>
      </c>
      <c r="F24" s="108">
        <v>221955</v>
      </c>
      <c r="G24" s="108">
        <f>288070.14-500</f>
        <v>287570.14</v>
      </c>
      <c r="H24" s="113">
        <v>45688.87</v>
      </c>
      <c r="I24" s="108">
        <v>80732.679999999993</v>
      </c>
      <c r="J24" s="113">
        <v>523852.07000000007</v>
      </c>
      <c r="K24" s="73">
        <f t="shared" si="15"/>
        <v>2127381.71</v>
      </c>
      <c r="L24" s="86">
        <v>1813966.43</v>
      </c>
      <c r="M24" s="137">
        <f>101158.65+500</f>
        <v>101658.65</v>
      </c>
      <c r="N24" s="151">
        <v>9984.14</v>
      </c>
      <c r="O24" s="151"/>
      <c r="P24" s="151">
        <v>201772.49</v>
      </c>
      <c r="Q24" s="152">
        <f t="shared" si="14"/>
        <v>307821.40000000002</v>
      </c>
      <c r="R24" s="86">
        <v>290440.57</v>
      </c>
      <c r="S24" s="86">
        <v>11252.58</v>
      </c>
      <c r="T24" s="86">
        <v>6128.25</v>
      </c>
      <c r="U24" s="86"/>
      <c r="V24" s="86"/>
    </row>
    <row r="25" spans="1:22" x14ac:dyDescent="0.25">
      <c r="A25" s="360"/>
      <c r="B25" s="72" t="s">
        <v>887</v>
      </c>
      <c r="C25" s="73">
        <f t="shared" si="9"/>
        <v>4129048.41</v>
      </c>
      <c r="D25" s="73">
        <f t="shared" si="10"/>
        <v>4129048.41</v>
      </c>
      <c r="E25" s="104">
        <f t="shared" si="11"/>
        <v>2409488.7800000003</v>
      </c>
      <c r="F25" s="113">
        <v>223315.4</v>
      </c>
      <c r="G25" s="115">
        <v>541943.81000000006</v>
      </c>
      <c r="H25" s="115">
        <v>36548.660000000003</v>
      </c>
      <c r="I25" s="91">
        <v>283100.31</v>
      </c>
      <c r="J25" s="116">
        <v>1324580.6000000001</v>
      </c>
      <c r="K25" s="73">
        <f t="shared" si="15"/>
        <v>1247882.54</v>
      </c>
      <c r="L25" s="86">
        <v>947344.01</v>
      </c>
      <c r="M25" s="113">
        <v>65531.65</v>
      </c>
      <c r="N25" s="86">
        <v>9849.8799999999992</v>
      </c>
      <c r="O25" s="86"/>
      <c r="P25" s="189">
        <v>225157</v>
      </c>
      <c r="Q25" s="73">
        <f>SUM(R25:V25)</f>
        <v>471677.09000000008</v>
      </c>
      <c r="R25" s="86">
        <v>283500.58000000007</v>
      </c>
      <c r="S25" s="190">
        <v>64236.07</v>
      </c>
      <c r="T25" s="113">
        <v>6240.44</v>
      </c>
      <c r="U25" s="73">
        <v>17700</v>
      </c>
      <c r="V25" s="113">
        <v>100000</v>
      </c>
    </row>
    <row r="26" spans="1:22" x14ac:dyDescent="0.25">
      <c r="A26" s="360"/>
      <c r="B26" s="72" t="s">
        <v>888</v>
      </c>
      <c r="C26" s="73">
        <f t="shared" si="9"/>
        <v>3365118.1100000003</v>
      </c>
      <c r="D26" s="73">
        <f t="shared" si="10"/>
        <v>3365118.1100000003</v>
      </c>
      <c r="E26" s="104">
        <f t="shared" si="11"/>
        <v>1630581.0899999999</v>
      </c>
      <c r="F26" s="84">
        <v>215850.59</v>
      </c>
      <c r="G26" s="113">
        <f>190136.12-4550+2563.3</f>
        <v>188149.41999999998</v>
      </c>
      <c r="H26" s="86">
        <v>45241.850000000006</v>
      </c>
      <c r="I26" s="84">
        <f>187485.08-5255.8</f>
        <v>182229.28</v>
      </c>
      <c r="J26" s="109">
        <v>999109.95</v>
      </c>
      <c r="K26" s="73">
        <f t="shared" si="15"/>
        <v>996340.16000000015</v>
      </c>
      <c r="L26" s="85">
        <v>950759.35000000009</v>
      </c>
      <c r="M26" s="85">
        <v>36456.78</v>
      </c>
      <c r="N26" s="87">
        <v>9124.0300000000007</v>
      </c>
      <c r="O26" s="85"/>
      <c r="P26" s="113"/>
      <c r="Q26" s="73">
        <f>SUM(R26:V26)</f>
        <v>738196.8600000001</v>
      </c>
      <c r="R26" s="86">
        <v>308136.17</v>
      </c>
      <c r="S26" s="113">
        <v>110550.22</v>
      </c>
      <c r="T26" s="73">
        <v>6474.0199999999995</v>
      </c>
      <c r="U26" s="73">
        <v>13336.61</v>
      </c>
      <c r="V26" s="73">
        <v>299699.84000000003</v>
      </c>
    </row>
    <row r="27" spans="1:22" x14ac:dyDescent="0.25">
      <c r="A27" s="360"/>
      <c r="B27" s="72" t="s">
        <v>889</v>
      </c>
      <c r="C27" s="73">
        <f t="shared" si="9"/>
        <v>3819224.97</v>
      </c>
      <c r="D27" s="73">
        <f t="shared" si="10"/>
        <v>3819224.97</v>
      </c>
      <c r="E27" s="104">
        <f t="shared" si="11"/>
        <v>2042058.53</v>
      </c>
      <c r="F27" s="84">
        <v>223074.66999999998</v>
      </c>
      <c r="G27" s="84">
        <v>221769.26</v>
      </c>
      <c r="H27" s="86">
        <v>42033.98</v>
      </c>
      <c r="I27" s="84">
        <v>13910.3</v>
      </c>
      <c r="J27" s="84">
        <v>1541270.32</v>
      </c>
      <c r="K27" s="73">
        <f t="shared" si="15"/>
        <v>1334955.04</v>
      </c>
      <c r="L27" s="84">
        <v>962859.38000000012</v>
      </c>
      <c r="M27" s="84">
        <v>23553</v>
      </c>
      <c r="N27" s="58">
        <v>4811.43</v>
      </c>
      <c r="O27" s="84"/>
      <c r="P27" s="84">
        <v>343731.23</v>
      </c>
      <c r="Q27" s="73">
        <f t="shared" ref="Q27:Q30" si="16">SUM(R27:V27)</f>
        <v>442211.4</v>
      </c>
      <c r="R27" s="73">
        <v>284353.31</v>
      </c>
      <c r="S27" s="73">
        <v>47832.98</v>
      </c>
      <c r="T27" s="73">
        <v>6615.71</v>
      </c>
      <c r="U27" s="73"/>
      <c r="V27" s="73">
        <v>103409.4</v>
      </c>
    </row>
    <row r="28" spans="1:22" x14ac:dyDescent="0.25">
      <c r="A28" s="361"/>
      <c r="B28" s="72" t="s">
        <v>890</v>
      </c>
      <c r="C28" s="73">
        <f t="shared" si="9"/>
        <v>4601287.38</v>
      </c>
      <c r="D28" s="73">
        <f t="shared" si="10"/>
        <v>4601287.38</v>
      </c>
      <c r="E28" s="104">
        <f t="shared" si="11"/>
        <v>2773719.2199999997</v>
      </c>
      <c r="F28" s="113">
        <v>223252.8</v>
      </c>
      <c r="G28" s="84">
        <v>294769.25</v>
      </c>
      <c r="H28" s="86">
        <v>50685.229999999996</v>
      </c>
      <c r="I28" s="84"/>
      <c r="J28" s="84">
        <v>2205011.94</v>
      </c>
      <c r="K28" s="73">
        <f t="shared" si="15"/>
        <v>1192902.6100000001</v>
      </c>
      <c r="L28" s="73">
        <f>1010838.89-50400</f>
        <v>960438.89</v>
      </c>
      <c r="M28" s="103">
        <v>101202.20000000001</v>
      </c>
      <c r="N28" s="134">
        <v>9989.1200000000008</v>
      </c>
      <c r="O28" s="103"/>
      <c r="P28" s="103">
        <v>121272.4</v>
      </c>
      <c r="Q28" s="73">
        <f t="shared" si="16"/>
        <v>634665.55000000005</v>
      </c>
      <c r="R28" s="73">
        <f>285998+5455</f>
        <v>291453</v>
      </c>
      <c r="S28" s="192">
        <v>101982.06000000001</v>
      </c>
      <c r="T28" s="73">
        <v>7336.5999999999995</v>
      </c>
      <c r="U28" s="73">
        <v>12800</v>
      </c>
      <c r="V28" s="73">
        <v>221093.89</v>
      </c>
    </row>
    <row r="29" spans="1:22" x14ac:dyDescent="0.25">
      <c r="A29" s="361"/>
      <c r="B29" s="72" t="s">
        <v>891</v>
      </c>
      <c r="C29" s="73">
        <f t="shared" si="9"/>
        <v>2961572.9499999997</v>
      </c>
      <c r="D29" s="73">
        <f t="shared" si="10"/>
        <v>2961572.9499999997</v>
      </c>
      <c r="E29" s="104">
        <f t="shared" si="11"/>
        <v>1122149.49</v>
      </c>
      <c r="F29" s="110">
        <v>242240.12</v>
      </c>
      <c r="G29" s="111">
        <v>286815.46999999997</v>
      </c>
      <c r="H29" s="86">
        <v>33121</v>
      </c>
      <c r="I29" s="84">
        <v>24942.5</v>
      </c>
      <c r="J29" s="84">
        <v>535030.4</v>
      </c>
      <c r="K29" s="73">
        <f t="shared" si="15"/>
        <v>1381609.0699999998</v>
      </c>
      <c r="L29" s="73">
        <v>971538</v>
      </c>
      <c r="M29" s="73">
        <v>99727.450000000012</v>
      </c>
      <c r="N29" s="86">
        <v>43.29</v>
      </c>
      <c r="O29" s="73"/>
      <c r="P29" s="155">
        <v>310300.32999999996</v>
      </c>
      <c r="Q29" s="73">
        <f t="shared" si="16"/>
        <v>457814.39</v>
      </c>
      <c r="R29" s="113">
        <v>273479.86</v>
      </c>
      <c r="S29" s="73">
        <v>56172.14</v>
      </c>
      <c r="T29" s="73">
        <v>49163.990000000005</v>
      </c>
      <c r="U29" s="73">
        <v>200</v>
      </c>
      <c r="V29" s="133">
        <v>78798.399999999994</v>
      </c>
    </row>
    <row r="30" spans="1:22" x14ac:dyDescent="0.25">
      <c r="A30" s="361"/>
      <c r="B30" s="72" t="s">
        <v>892</v>
      </c>
      <c r="C30" s="73">
        <f t="shared" si="9"/>
        <v>4686628.0299999993</v>
      </c>
      <c r="D30" s="73">
        <f t="shared" si="10"/>
        <v>4686628.0299999993</v>
      </c>
      <c r="E30" s="104">
        <f t="shared" si="11"/>
        <v>2917091.1199999996</v>
      </c>
      <c r="F30" s="88">
        <v>217214.96</v>
      </c>
      <c r="G30" s="73">
        <v>498180.14</v>
      </c>
      <c r="H30" s="86">
        <v>73451.340000000011</v>
      </c>
      <c r="I30" s="73">
        <v>38675</v>
      </c>
      <c r="J30" s="73">
        <v>2089569.6799999997</v>
      </c>
      <c r="K30" s="73">
        <f t="shared" si="15"/>
        <v>1062569.8700000001</v>
      </c>
      <c r="L30" s="73">
        <v>973846.12</v>
      </c>
      <c r="M30" s="73">
        <v>54152.28</v>
      </c>
      <c r="N30" s="86">
        <v>3101.62</v>
      </c>
      <c r="O30" s="73"/>
      <c r="P30" s="73">
        <v>31469.85</v>
      </c>
      <c r="Q30" s="73">
        <f t="shared" si="16"/>
        <v>706967.04000000004</v>
      </c>
      <c r="R30" s="73">
        <v>309753.96000000002</v>
      </c>
      <c r="S30" s="73">
        <v>136917.72</v>
      </c>
      <c r="T30" s="73">
        <v>26755.11</v>
      </c>
      <c r="U30" s="73"/>
      <c r="V30" s="73">
        <v>233540.25</v>
      </c>
    </row>
    <row r="31" spans="1:22" x14ac:dyDescent="0.25">
      <c r="A31" s="362"/>
      <c r="B31" s="74" t="s">
        <v>880</v>
      </c>
      <c r="C31" s="75">
        <f t="shared" si="9"/>
        <v>42478926.129999995</v>
      </c>
      <c r="D31" s="76">
        <f>SUM(D19:D30)</f>
        <v>42478926.130000003</v>
      </c>
      <c r="E31" s="76">
        <f t="shared" ref="E31:V31" si="17">SUM(E19:E30)</f>
        <v>19650264.859999999</v>
      </c>
      <c r="F31" s="76">
        <f t="shared" si="17"/>
        <v>2759802.06</v>
      </c>
      <c r="G31" s="76">
        <f t="shared" si="17"/>
        <v>3787032.4199999995</v>
      </c>
      <c r="H31" s="76">
        <f t="shared" si="17"/>
        <v>638953.99999999988</v>
      </c>
      <c r="I31" s="76">
        <f t="shared" si="17"/>
        <v>975843.28</v>
      </c>
      <c r="J31" s="76">
        <f t="shared" si="17"/>
        <v>11488633.1</v>
      </c>
      <c r="K31" s="76">
        <f t="shared" si="17"/>
        <v>17161730.379999999</v>
      </c>
      <c r="L31" s="76">
        <f t="shared" si="17"/>
        <v>14882156.220000001</v>
      </c>
      <c r="M31" s="76">
        <f t="shared" si="17"/>
        <v>838608.23000000021</v>
      </c>
      <c r="N31" s="76">
        <f t="shared" si="17"/>
        <v>127996.52999999998</v>
      </c>
      <c r="O31" s="76">
        <f t="shared" si="17"/>
        <v>0</v>
      </c>
      <c r="P31" s="76">
        <f t="shared" si="17"/>
        <v>1312969.3999999999</v>
      </c>
      <c r="Q31" s="76">
        <f t="shared" si="17"/>
        <v>5666930.8900000006</v>
      </c>
      <c r="R31" s="76">
        <f t="shared" si="17"/>
        <v>3471745.01</v>
      </c>
      <c r="S31" s="76">
        <f t="shared" si="17"/>
        <v>774580.19000000006</v>
      </c>
      <c r="T31" s="76">
        <f t="shared" si="17"/>
        <v>200324.45</v>
      </c>
      <c r="U31" s="76">
        <f t="shared" si="17"/>
        <v>140036.60999999999</v>
      </c>
      <c r="V31" s="76">
        <f t="shared" si="17"/>
        <v>1080244.6300000001</v>
      </c>
    </row>
    <row r="32" spans="1:22" x14ac:dyDescent="0.25">
      <c r="A32" s="360">
        <v>2025</v>
      </c>
      <c r="B32" s="72" t="s">
        <v>795</v>
      </c>
      <c r="C32" s="175">
        <f t="shared" ref="C32:C44" si="18">E32+K32+Q32</f>
        <v>1904725.9999999998</v>
      </c>
      <c r="D32" s="205">
        <f t="shared" ref="D32:D43" si="19">+E32+K32+Q32</f>
        <v>1904725.9999999998</v>
      </c>
      <c r="E32" s="206">
        <f t="shared" ref="E32:E43" si="20">+F32+G32+H32+I32+J32</f>
        <v>537486.56999999995</v>
      </c>
      <c r="F32" s="207">
        <v>240562</v>
      </c>
      <c r="G32" s="176">
        <v>158203.10999999999</v>
      </c>
      <c r="H32" s="177">
        <v>47563.26</v>
      </c>
      <c r="I32" s="207"/>
      <c r="J32" s="208">
        <v>91158.2</v>
      </c>
      <c r="K32" s="94">
        <f t="shared" ref="K32" si="21">SUM(L32:P32)</f>
        <v>1065468.92</v>
      </c>
      <c r="L32" s="94">
        <v>1055740.3799999999</v>
      </c>
      <c r="M32" s="175"/>
      <c r="N32" s="178">
        <v>9728.5400000000009</v>
      </c>
      <c r="O32" s="175"/>
      <c r="P32" s="175"/>
      <c r="Q32" s="73">
        <f t="shared" ref="Q32:Q37" si="22">SUM(R32:V32)</f>
        <v>301770.51</v>
      </c>
      <c r="R32" s="94">
        <v>301770.51</v>
      </c>
      <c r="S32" s="175"/>
      <c r="T32" s="178"/>
      <c r="U32" s="175"/>
      <c r="V32" s="175"/>
    </row>
    <row r="33" spans="1:22" x14ac:dyDescent="0.25">
      <c r="A33" s="360"/>
      <c r="B33" s="72" t="s">
        <v>893</v>
      </c>
      <c r="C33" s="73">
        <f t="shared" si="18"/>
        <v>3778213.1399999997</v>
      </c>
      <c r="D33" s="73">
        <f t="shared" si="19"/>
        <v>3778213.1399999997</v>
      </c>
      <c r="E33" s="181">
        <f t="shared" si="20"/>
        <v>1925025.71</v>
      </c>
      <c r="F33" s="179">
        <v>247711.16999999987</v>
      </c>
      <c r="G33" s="107">
        <v>493593.74</v>
      </c>
      <c r="H33" s="179">
        <v>129942.68000000001</v>
      </c>
      <c r="I33" s="107">
        <v>7540</v>
      </c>
      <c r="J33" s="179">
        <v>1046238.1199999999</v>
      </c>
      <c r="K33" s="73">
        <f t="shared" ref="K33" si="23">SUM(L33:P33)</f>
        <v>1425209.09</v>
      </c>
      <c r="L33" s="93">
        <f>1055288.92+156</f>
        <v>1055444.92</v>
      </c>
      <c r="M33" s="92">
        <v>81880.86</v>
      </c>
      <c r="N33" s="179"/>
      <c r="O33" s="92"/>
      <c r="P33" s="86">
        <v>287883.31</v>
      </c>
      <c r="Q33" s="73">
        <f t="shared" si="22"/>
        <v>427978.34</v>
      </c>
      <c r="R33" s="86">
        <v>304103.46000000002</v>
      </c>
      <c r="S33" s="92">
        <v>80184.05</v>
      </c>
      <c r="T33" s="179">
        <v>33690.83</v>
      </c>
      <c r="U33" s="92"/>
      <c r="V33" s="86">
        <v>10000</v>
      </c>
    </row>
    <row r="34" spans="1:22" x14ac:dyDescent="0.25">
      <c r="A34" s="360"/>
      <c r="B34" s="72" t="s">
        <v>894</v>
      </c>
      <c r="C34" s="73">
        <f t="shared" si="18"/>
        <v>3399387.5700000003</v>
      </c>
      <c r="D34" s="73">
        <f t="shared" si="19"/>
        <v>3399387.5700000003</v>
      </c>
      <c r="E34" s="181">
        <f t="shared" si="20"/>
        <v>1671154.12</v>
      </c>
      <c r="F34" s="105">
        <v>249030.58</v>
      </c>
      <c r="G34" s="179">
        <v>357309.72</v>
      </c>
      <c r="H34" s="179">
        <v>56042.770000000004</v>
      </c>
      <c r="I34" s="107">
        <v>110816.95999999999</v>
      </c>
      <c r="J34" s="106">
        <v>897954.09000000008</v>
      </c>
      <c r="K34" s="73">
        <f>SUM(L34:P34)</f>
        <v>1329757.8700000001</v>
      </c>
      <c r="L34" s="93">
        <v>1084228.81</v>
      </c>
      <c r="M34" s="180">
        <v>87356.790000000008</v>
      </c>
      <c r="N34" s="180">
        <v>22053.72</v>
      </c>
      <c r="O34" s="92"/>
      <c r="P34" s="72">
        <v>136118.54999999999</v>
      </c>
      <c r="Q34" s="73">
        <f t="shared" si="22"/>
        <v>398475.57999999996</v>
      </c>
      <c r="R34" s="86">
        <v>313503.68999999994</v>
      </c>
      <c r="S34" s="179">
        <v>62772.06</v>
      </c>
      <c r="T34" s="92">
        <v>22199.829999999998</v>
      </c>
      <c r="U34" s="92"/>
      <c r="V34" s="86"/>
    </row>
    <row r="35" spans="1:22" x14ac:dyDescent="0.25">
      <c r="A35" s="360"/>
      <c r="B35" s="72" t="s">
        <v>804</v>
      </c>
      <c r="C35" s="195">
        <f t="shared" si="18"/>
        <v>3942606.5599999996</v>
      </c>
      <c r="D35" s="195">
        <f t="shared" si="19"/>
        <v>3942606.5599999996</v>
      </c>
      <c r="E35" s="196">
        <f t="shared" si="20"/>
        <v>2329325.33</v>
      </c>
      <c r="F35" s="113">
        <v>244913.73</v>
      </c>
      <c r="G35" s="113">
        <v>315505.02</v>
      </c>
      <c r="H35" s="113">
        <v>50675.31</v>
      </c>
      <c r="I35" s="197">
        <v>145260</v>
      </c>
      <c r="J35" s="198">
        <v>1572971.27</v>
      </c>
      <c r="K35" s="195">
        <f t="shared" ref="K35:K43" si="24">SUM(L35:P35)</f>
        <v>1135517.6399999999</v>
      </c>
      <c r="L35" s="199">
        <v>1050067.18</v>
      </c>
      <c r="M35" s="200">
        <v>71825.05</v>
      </c>
      <c r="N35" s="201">
        <v>13625.41</v>
      </c>
      <c r="O35" s="201"/>
      <c r="Q35" s="202">
        <f t="shared" si="22"/>
        <v>477763.58999999997</v>
      </c>
      <c r="R35" s="203">
        <v>311588.33999999997</v>
      </c>
      <c r="S35" s="204">
        <v>54645.24</v>
      </c>
      <c r="T35" s="113">
        <v>19980.009999999998</v>
      </c>
      <c r="U35" s="204"/>
      <c r="V35" s="204">
        <v>91550</v>
      </c>
    </row>
    <row r="36" spans="1:22" x14ac:dyDescent="0.25">
      <c r="A36" s="360"/>
      <c r="B36" s="72" t="s">
        <v>806</v>
      </c>
      <c r="C36" s="73">
        <f t="shared" si="18"/>
        <v>3344841.6000000006</v>
      </c>
      <c r="D36" s="73">
        <f t="shared" si="19"/>
        <v>3344841.6000000006</v>
      </c>
      <c r="E36" s="104">
        <f t="shared" si="20"/>
        <v>1640353.5100000002</v>
      </c>
      <c r="F36" s="113">
        <v>256085.56</v>
      </c>
      <c r="G36" s="108">
        <v>517476.28000000009</v>
      </c>
      <c r="H36" s="115">
        <v>48953.520000000004</v>
      </c>
      <c r="I36" s="108">
        <v>171980</v>
      </c>
      <c r="J36" s="109">
        <v>645858.15</v>
      </c>
      <c r="K36" s="73">
        <f t="shared" si="24"/>
        <v>1300454.7200000002</v>
      </c>
      <c r="L36" s="86">
        <v>1040359.77</v>
      </c>
      <c r="M36" s="137">
        <v>58686.55</v>
      </c>
      <c r="N36" s="150">
        <v>14999.54</v>
      </c>
      <c r="O36" s="142"/>
      <c r="P36" s="142">
        <v>186408.86</v>
      </c>
      <c r="Q36" s="202">
        <f t="shared" si="22"/>
        <v>404033.37</v>
      </c>
      <c r="R36" s="86">
        <v>310251.01</v>
      </c>
      <c r="S36" s="113">
        <v>49951.87</v>
      </c>
      <c r="T36" s="86">
        <v>12030.49</v>
      </c>
      <c r="U36" s="86">
        <v>31800</v>
      </c>
      <c r="V36" s="113"/>
    </row>
    <row r="37" spans="1:22" x14ac:dyDescent="0.25">
      <c r="A37" s="360"/>
      <c r="B37" s="72" t="s">
        <v>808</v>
      </c>
      <c r="C37" s="73">
        <f t="shared" si="18"/>
        <v>3166568.28</v>
      </c>
      <c r="D37" s="73">
        <f t="shared" si="19"/>
        <v>3166568.28</v>
      </c>
      <c r="E37" s="104">
        <f t="shared" si="20"/>
        <v>1581493.6300000001</v>
      </c>
      <c r="F37" s="108">
        <v>273235</v>
      </c>
      <c r="G37" s="108">
        <v>370538.15</v>
      </c>
      <c r="H37" s="113">
        <v>22183.05</v>
      </c>
      <c r="I37" s="108">
        <v>197720</v>
      </c>
      <c r="J37" s="113">
        <v>717817.43</v>
      </c>
      <c r="K37" s="73">
        <f t="shared" si="24"/>
        <v>1106313.3399999999</v>
      </c>
      <c r="L37" s="86">
        <v>1040359.77</v>
      </c>
      <c r="M37" s="137">
        <v>55148.42</v>
      </c>
      <c r="N37" s="151">
        <v>10805.15</v>
      </c>
      <c r="O37" s="151"/>
      <c r="P37" s="151"/>
      <c r="Q37" s="152">
        <f t="shared" si="22"/>
        <v>478761.31</v>
      </c>
      <c r="R37" s="86">
        <v>309390.69</v>
      </c>
      <c r="S37" s="86">
        <v>13237.57</v>
      </c>
      <c r="T37" s="86">
        <v>22183.05</v>
      </c>
      <c r="U37" s="86">
        <v>85500</v>
      </c>
      <c r="V37" s="86">
        <v>48450</v>
      </c>
    </row>
    <row r="38" spans="1:22" x14ac:dyDescent="0.25">
      <c r="A38" s="360"/>
      <c r="B38" s="72" t="s">
        <v>811</v>
      </c>
      <c r="C38" s="73">
        <f t="shared" si="18"/>
        <v>3556835.69</v>
      </c>
      <c r="D38" s="73">
        <f t="shared" si="19"/>
        <v>3556835.69</v>
      </c>
      <c r="E38" s="104">
        <f t="shared" si="20"/>
        <v>1731425.29</v>
      </c>
      <c r="F38" s="113">
        <v>279916.84000000003</v>
      </c>
      <c r="G38" s="115">
        <v>285761.51999999996</v>
      </c>
      <c r="H38" s="115">
        <v>38776.810000000005</v>
      </c>
      <c r="I38" s="91">
        <v>146710.79999999999</v>
      </c>
      <c r="J38" s="116">
        <v>980259.32000000007</v>
      </c>
      <c r="K38" s="73">
        <f t="shared" si="24"/>
        <v>1389263.6399999997</v>
      </c>
      <c r="L38" s="86">
        <v>1132911.6099999999</v>
      </c>
      <c r="M38" s="113">
        <v>76804.459999999992</v>
      </c>
      <c r="N38" s="86">
        <v>9949.9</v>
      </c>
      <c r="O38" s="86"/>
      <c r="P38" s="189">
        <v>169597.66999999998</v>
      </c>
      <c r="Q38" s="73">
        <f>SUM(R38:V38)</f>
        <v>436146.76000000007</v>
      </c>
      <c r="R38" s="86">
        <v>357732.55000000005</v>
      </c>
      <c r="S38" s="190">
        <v>35044.75</v>
      </c>
      <c r="T38" s="113">
        <v>7835.46</v>
      </c>
      <c r="U38" s="73">
        <v>15350</v>
      </c>
      <c r="V38" s="113">
        <v>20184</v>
      </c>
    </row>
    <row r="39" spans="1:22" x14ac:dyDescent="0.25">
      <c r="A39" s="360"/>
      <c r="B39" s="72" t="s">
        <v>814</v>
      </c>
      <c r="C39" s="73">
        <f t="shared" si="18"/>
        <v>3201141.58</v>
      </c>
      <c r="D39" s="73">
        <f t="shared" si="19"/>
        <v>3201141.58</v>
      </c>
      <c r="E39" s="104">
        <f t="shared" si="20"/>
        <v>1235931.6499999999</v>
      </c>
      <c r="F39" s="84">
        <f>271390.32+3122</f>
        <v>274512.32</v>
      </c>
      <c r="G39" s="113">
        <f>272231.07-26975</f>
        <v>245256.07</v>
      </c>
      <c r="H39" s="86">
        <v>20184</v>
      </c>
      <c r="I39" s="84">
        <v>118460.56</v>
      </c>
      <c r="J39" s="109">
        <v>577518.69999999995</v>
      </c>
      <c r="K39" s="73">
        <f t="shared" si="24"/>
        <v>1439106.75</v>
      </c>
      <c r="L39" s="85">
        <v>1152880.6099999999</v>
      </c>
      <c r="M39" s="85">
        <v>20989.59</v>
      </c>
      <c r="N39" s="87">
        <f>25319.35+26924</f>
        <v>52243.35</v>
      </c>
      <c r="O39" s="85"/>
      <c r="P39" s="113">
        <v>212993.2</v>
      </c>
      <c r="Q39" s="73">
        <f>SUM(R39:V39)</f>
        <v>526103.18000000005</v>
      </c>
      <c r="R39" s="86">
        <v>337483.47000000003</v>
      </c>
      <c r="S39" s="113">
        <v>22624.710000000003</v>
      </c>
      <c r="T39" s="73">
        <v>1908</v>
      </c>
      <c r="U39" s="73"/>
      <c r="V39" s="73">
        <v>164087</v>
      </c>
    </row>
    <row r="40" spans="1:22" x14ac:dyDescent="0.25">
      <c r="A40" s="360"/>
      <c r="B40" s="72" t="s">
        <v>817</v>
      </c>
      <c r="C40" s="73">
        <f t="shared" si="18"/>
        <v>3409244.73</v>
      </c>
      <c r="D40" s="73">
        <f t="shared" si="19"/>
        <v>3409244.73</v>
      </c>
      <c r="E40" s="104">
        <f t="shared" si="20"/>
        <v>1746970.27</v>
      </c>
      <c r="F40" s="84">
        <v>267509.86</v>
      </c>
      <c r="G40" s="84">
        <v>306449.34000000003</v>
      </c>
      <c r="H40" s="86">
        <v>44438.57</v>
      </c>
      <c r="I40" s="84">
        <v>26265.100000000002</v>
      </c>
      <c r="J40" s="84">
        <v>1102307.4000000001</v>
      </c>
      <c r="K40" s="73">
        <f t="shared" si="24"/>
        <v>1269590.78</v>
      </c>
      <c r="L40" s="84">
        <v>1121234.5900000001</v>
      </c>
      <c r="M40" s="84">
        <v>100290.27999999994</v>
      </c>
      <c r="N40" s="58">
        <v>7983.21</v>
      </c>
      <c r="O40" s="84"/>
      <c r="P40" s="84">
        <v>40082.699999999997</v>
      </c>
      <c r="Q40" s="73">
        <f t="shared" ref="Q40:Q43" si="25">SUM(R40:V40)</f>
        <v>392683.68</v>
      </c>
      <c r="R40" s="73">
        <v>308312.7</v>
      </c>
      <c r="S40" s="73">
        <v>38531.730000000003</v>
      </c>
      <c r="T40" s="73">
        <v>6655.25</v>
      </c>
      <c r="U40" s="73"/>
      <c r="V40" s="73">
        <v>39184</v>
      </c>
    </row>
    <row r="41" spans="1:22" x14ac:dyDescent="0.25">
      <c r="A41" s="361"/>
      <c r="B41" s="72" t="s">
        <v>820</v>
      </c>
      <c r="C41" s="73">
        <f t="shared" si="18"/>
        <v>3450167.32</v>
      </c>
      <c r="D41" s="73">
        <f t="shared" si="19"/>
        <v>3450167.32</v>
      </c>
      <c r="E41" s="104">
        <f t="shared" si="20"/>
        <v>1712633.37</v>
      </c>
      <c r="F41" s="113">
        <v>277453.56999999995</v>
      </c>
      <c r="G41" s="84">
        <v>348195.56</v>
      </c>
      <c r="H41" s="86">
        <v>49223.64</v>
      </c>
      <c r="I41" s="84">
        <v>109903</v>
      </c>
      <c r="J41" s="84">
        <v>927857.60000000009</v>
      </c>
      <c r="K41" s="73">
        <f t="shared" si="24"/>
        <v>1369935.8800000001</v>
      </c>
      <c r="L41" s="73">
        <v>1118780.9200000002</v>
      </c>
      <c r="M41" s="103">
        <v>86498.729999999923</v>
      </c>
      <c r="N41" s="134">
        <v>15725.55</v>
      </c>
      <c r="O41" s="103"/>
      <c r="P41" s="103">
        <v>148930.68</v>
      </c>
      <c r="Q41" s="73">
        <f t="shared" si="25"/>
        <v>367598.07</v>
      </c>
      <c r="R41" s="73">
        <v>327121.05</v>
      </c>
      <c r="S41" s="192">
        <v>32213.43</v>
      </c>
      <c r="T41" s="73">
        <v>5863.59</v>
      </c>
      <c r="U41" s="73">
        <v>2400</v>
      </c>
      <c r="V41" s="73"/>
    </row>
    <row r="42" spans="1:22" x14ac:dyDescent="0.25">
      <c r="A42" s="361"/>
      <c r="B42" s="72" t="s">
        <v>895</v>
      </c>
      <c r="C42" s="73">
        <f t="shared" si="18"/>
        <v>3182114.72</v>
      </c>
      <c r="D42" s="73">
        <f t="shared" si="19"/>
        <v>3182114.72</v>
      </c>
      <c r="E42" s="104">
        <f t="shared" si="20"/>
        <v>1478713.75</v>
      </c>
      <c r="F42" s="110">
        <v>271726.8</v>
      </c>
      <c r="G42" s="111">
        <v>200816.36999999997</v>
      </c>
      <c r="H42" s="86">
        <v>55057.280000000006</v>
      </c>
      <c r="I42" s="84">
        <v>45670</v>
      </c>
      <c r="J42" s="84">
        <v>905443.29999999993</v>
      </c>
      <c r="K42" s="73">
        <f t="shared" si="24"/>
        <v>1293020.81</v>
      </c>
      <c r="L42" s="73">
        <v>1128728.1400000001</v>
      </c>
      <c r="M42" s="73">
        <v>84245.09</v>
      </c>
      <c r="N42" s="86">
        <v>14846.43</v>
      </c>
      <c r="O42" s="73"/>
      <c r="P42" s="155">
        <v>65201.15</v>
      </c>
      <c r="Q42" s="73">
        <f t="shared" si="25"/>
        <v>410380.16</v>
      </c>
      <c r="R42" s="113">
        <v>332297.65999999997</v>
      </c>
      <c r="S42" s="73">
        <v>44203.75</v>
      </c>
      <c r="T42" s="73">
        <v>19328.75</v>
      </c>
      <c r="U42" s="73">
        <v>14550</v>
      </c>
      <c r="V42" s="133"/>
    </row>
    <row r="43" spans="1:22" x14ac:dyDescent="0.25">
      <c r="A43" s="361"/>
      <c r="B43" s="72" t="s">
        <v>826</v>
      </c>
      <c r="C43" s="73">
        <f t="shared" si="18"/>
        <v>4588865.7</v>
      </c>
      <c r="D43" s="73">
        <f t="shared" si="19"/>
        <v>4588865.7</v>
      </c>
      <c r="E43" s="104">
        <f t="shared" si="20"/>
        <v>2781395.41</v>
      </c>
      <c r="F43" s="88">
        <v>267991</v>
      </c>
      <c r="G43" s="73">
        <v>359062</v>
      </c>
      <c r="H43" s="86">
        <v>114086.9</v>
      </c>
      <c r="I43" s="73">
        <v>28300</v>
      </c>
      <c r="J43" s="73">
        <v>2011955.5100000002</v>
      </c>
      <c r="K43" s="73">
        <f t="shared" si="24"/>
        <v>1330245.3899999999</v>
      </c>
      <c r="L43" s="73">
        <v>1135715.97</v>
      </c>
      <c r="M43" s="73">
        <v>103471</v>
      </c>
      <c r="N43" s="113">
        <v>18212</v>
      </c>
      <c r="O43" s="73"/>
      <c r="P43" s="73">
        <v>72846.42</v>
      </c>
      <c r="Q43" s="73">
        <f t="shared" si="25"/>
        <v>477224.9</v>
      </c>
      <c r="R43" s="73">
        <v>354769</v>
      </c>
      <c r="S43" s="73">
        <v>100598</v>
      </c>
      <c r="T43" s="73">
        <v>21757.9</v>
      </c>
      <c r="U43" s="73">
        <v>100</v>
      </c>
      <c r="V43" s="73"/>
    </row>
    <row r="44" spans="1:22" x14ac:dyDescent="0.25">
      <c r="A44" s="362"/>
      <c r="B44" s="74" t="s">
        <v>794</v>
      </c>
      <c r="C44" s="75">
        <f t="shared" si="18"/>
        <v>40924712.890000001</v>
      </c>
      <c r="D44" s="76">
        <f>SUM(D32:D43)</f>
        <v>40924712.890000008</v>
      </c>
      <c r="E44" s="76">
        <f t="shared" ref="E44:V44" si="26">SUM(E32:E43)</f>
        <v>20371908.609999999</v>
      </c>
      <c r="F44" s="76">
        <f t="shared" si="26"/>
        <v>3150648.4299999997</v>
      </c>
      <c r="G44" s="76">
        <f t="shared" si="26"/>
        <v>3958166.88</v>
      </c>
      <c r="H44" s="76">
        <f t="shared" si="26"/>
        <v>677127.79</v>
      </c>
      <c r="I44" s="76">
        <f t="shared" si="26"/>
        <v>1108626.42</v>
      </c>
      <c r="J44" s="76">
        <f t="shared" si="26"/>
        <v>11477339.090000002</v>
      </c>
      <c r="K44" s="76">
        <f t="shared" si="26"/>
        <v>15453884.83</v>
      </c>
      <c r="L44" s="76">
        <f t="shared" si="26"/>
        <v>13116452.67</v>
      </c>
      <c r="M44" s="76">
        <f t="shared" si="26"/>
        <v>827196.82</v>
      </c>
      <c r="N44" s="76">
        <f t="shared" si="26"/>
        <v>190172.79999999996</v>
      </c>
      <c r="O44" s="76">
        <f t="shared" si="26"/>
        <v>0</v>
      </c>
      <c r="P44" s="76">
        <f t="shared" si="26"/>
        <v>1320062.5399999996</v>
      </c>
      <c r="Q44" s="76">
        <f t="shared" si="26"/>
        <v>5098919.4500000011</v>
      </c>
      <c r="R44" s="76">
        <f t="shared" si="26"/>
        <v>3868324.1300000004</v>
      </c>
      <c r="S44" s="76">
        <f t="shared" si="26"/>
        <v>534007.15999999992</v>
      </c>
      <c r="T44" s="76">
        <f t="shared" si="26"/>
        <v>173433.16</v>
      </c>
      <c r="U44" s="76">
        <f t="shared" si="26"/>
        <v>149700</v>
      </c>
      <c r="V44" s="76">
        <f t="shared" si="26"/>
        <v>373455</v>
      </c>
    </row>
    <row r="45" spans="1:22" ht="15.75" x14ac:dyDescent="0.25">
      <c r="A45" s="360">
        <v>2026</v>
      </c>
      <c r="B45" s="279" t="s">
        <v>897</v>
      </c>
      <c r="C45" s="321">
        <f t="shared" ref="C45:C57" si="27">E45+K45+Q45</f>
        <v>1989312.8900000001</v>
      </c>
      <c r="D45" s="322">
        <f t="shared" ref="D45:D56" si="28">+E45+K45+Q45</f>
        <v>1989312.8900000001</v>
      </c>
      <c r="E45" s="323">
        <f t="shared" ref="E45" si="29">SUM(F45:J45)</f>
        <v>472666.05000000005</v>
      </c>
      <c r="F45" s="324">
        <v>256945.28</v>
      </c>
      <c r="G45" s="325">
        <v>168865</v>
      </c>
      <c r="H45" s="326">
        <v>46855.77</v>
      </c>
      <c r="I45" s="324"/>
      <c r="J45" s="327"/>
      <c r="K45" s="323">
        <f t="shared" ref="K45" si="30">SUM(L45:P45)</f>
        <v>1169676.21</v>
      </c>
      <c r="L45" s="323">
        <v>1132343.2999999998</v>
      </c>
      <c r="M45" s="321">
        <v>22278.29</v>
      </c>
      <c r="N45" s="328">
        <v>15054.62</v>
      </c>
      <c r="O45" s="321"/>
      <c r="P45" s="321"/>
      <c r="Q45" s="329">
        <f t="shared" ref="Q45:Q50" si="31">SUM(R45:V45)</f>
        <v>346970.63</v>
      </c>
      <c r="R45" s="323">
        <v>301574.64</v>
      </c>
      <c r="S45" s="321">
        <v>31979.49</v>
      </c>
      <c r="T45" s="328">
        <v>13416.5</v>
      </c>
      <c r="U45" s="321"/>
      <c r="V45" s="321"/>
    </row>
    <row r="46" spans="1:22" ht="15.75" x14ac:dyDescent="0.25">
      <c r="A46" s="360"/>
      <c r="B46" s="280" t="s">
        <v>898</v>
      </c>
      <c r="C46" s="332">
        <f t="shared" si="27"/>
        <v>2288657.84</v>
      </c>
      <c r="D46" s="332">
        <f t="shared" si="28"/>
        <v>2288657.84</v>
      </c>
      <c r="E46" s="332">
        <f t="shared" ref="E46" si="32">SUM(F46:J46)</f>
        <v>696357.76</v>
      </c>
      <c r="F46" s="144">
        <v>259766.94000000006</v>
      </c>
      <c r="G46" s="333">
        <v>357357.36</v>
      </c>
      <c r="H46" s="144">
        <v>51173.46</v>
      </c>
      <c r="I46" s="333">
        <v>28060</v>
      </c>
      <c r="J46" s="144"/>
      <c r="K46" s="332">
        <f t="shared" ref="K46" si="33">SUM(L46:P46)</f>
        <v>1215546.7599999998</v>
      </c>
      <c r="L46" s="334">
        <v>1129535.2599999998</v>
      </c>
      <c r="M46" s="145">
        <v>69370.150000000009</v>
      </c>
      <c r="N46" s="144">
        <v>16641.349999999999</v>
      </c>
      <c r="O46" s="145"/>
      <c r="P46" s="142"/>
      <c r="Q46" s="332">
        <f t="shared" si="31"/>
        <v>376753.32</v>
      </c>
      <c r="R46" s="142">
        <v>309584.74</v>
      </c>
      <c r="S46" s="145">
        <v>33835.58</v>
      </c>
      <c r="T46" s="144"/>
      <c r="U46" s="145"/>
      <c r="V46" s="142">
        <v>33333</v>
      </c>
    </row>
    <row r="47" spans="1:22" ht="15.75" x14ac:dyDescent="0.25">
      <c r="A47" s="360"/>
      <c r="B47" s="280" t="s">
        <v>899</v>
      </c>
      <c r="C47" s="332">
        <f t="shared" si="27"/>
        <v>4139260.5499999993</v>
      </c>
      <c r="D47" s="332">
        <f t="shared" si="28"/>
        <v>4139260.5499999993</v>
      </c>
      <c r="E47" s="332">
        <f>SUM(F47:J47)</f>
        <v>1040482.1900000002</v>
      </c>
      <c r="F47" s="335">
        <v>549729.59000000008</v>
      </c>
      <c r="G47" s="144">
        <v>330927.89</v>
      </c>
      <c r="H47" s="144">
        <v>139124.71000000002</v>
      </c>
      <c r="I47" s="333">
        <v>20700</v>
      </c>
      <c r="J47" s="336"/>
      <c r="K47" s="332">
        <f>SUM(L47:P47)</f>
        <v>2376410.0399999996</v>
      </c>
      <c r="L47" s="334">
        <v>2284496.09</v>
      </c>
      <c r="M47" s="147">
        <v>54409.109999999986</v>
      </c>
      <c r="N47" s="147">
        <v>37504.839999999997</v>
      </c>
      <c r="O47" s="145"/>
      <c r="P47" s="148"/>
      <c r="Q47" s="332">
        <f t="shared" si="31"/>
        <v>722368.32</v>
      </c>
      <c r="R47" s="142">
        <v>657329.15</v>
      </c>
      <c r="S47" s="144">
        <v>34625.449999999997</v>
      </c>
      <c r="T47" s="145">
        <v>30413.72</v>
      </c>
      <c r="U47" s="145"/>
      <c r="V47" s="142"/>
    </row>
    <row r="48" spans="1:22" ht="15.75" x14ac:dyDescent="0.25">
      <c r="A48" s="360"/>
      <c r="B48" s="280" t="s">
        <v>900</v>
      </c>
      <c r="C48" s="332">
        <f t="shared" si="27"/>
        <v>3490600.92</v>
      </c>
      <c r="D48" s="332">
        <f t="shared" si="28"/>
        <v>3490600.92</v>
      </c>
      <c r="E48" s="332">
        <f t="shared" ref="E48:E56" si="34">SUM(F48:J48)</f>
        <v>1255908.08</v>
      </c>
      <c r="F48" s="144">
        <v>297909.99</v>
      </c>
      <c r="G48" s="144">
        <v>381456.14</v>
      </c>
      <c r="H48" s="144">
        <v>64286.629999999976</v>
      </c>
      <c r="I48" s="335">
        <v>35300</v>
      </c>
      <c r="J48" s="336">
        <f>202703.5+274251.82</f>
        <v>476955.32</v>
      </c>
      <c r="K48" s="332">
        <f t="shared" ref="K48:K56" si="35">SUM(L48:P48)</f>
        <v>1827275.3</v>
      </c>
      <c r="L48" s="334">
        <v>1153724.82</v>
      </c>
      <c r="M48" s="334">
        <v>97244</v>
      </c>
      <c r="N48" s="149">
        <v>33255.440000000002</v>
      </c>
      <c r="O48" s="149"/>
      <c r="P48" s="148">
        <v>543051.04</v>
      </c>
      <c r="Q48" s="332">
        <f t="shared" si="31"/>
        <v>407417.54</v>
      </c>
      <c r="R48" s="149">
        <v>330984.90999999997</v>
      </c>
      <c r="S48" s="142">
        <v>57520.29</v>
      </c>
      <c r="T48" s="144">
        <v>18622.14</v>
      </c>
      <c r="U48" s="142"/>
      <c r="V48" s="142">
        <v>290.2</v>
      </c>
    </row>
    <row r="49" spans="1:22" ht="15.75" x14ac:dyDescent="0.25">
      <c r="A49" s="360"/>
      <c r="B49" s="281" t="s">
        <v>901</v>
      </c>
      <c r="C49" s="332">
        <f t="shared" si="27"/>
        <v>0</v>
      </c>
      <c r="D49" s="332">
        <f t="shared" si="28"/>
        <v>0</v>
      </c>
      <c r="E49" s="332">
        <f t="shared" si="34"/>
        <v>0</v>
      </c>
      <c r="F49" s="144"/>
      <c r="G49" s="337"/>
      <c r="H49" s="338"/>
      <c r="I49" s="337"/>
      <c r="J49" s="339"/>
      <c r="K49" s="332">
        <f t="shared" si="35"/>
        <v>0</v>
      </c>
      <c r="L49" s="142"/>
      <c r="M49" s="142"/>
      <c r="N49" s="150"/>
      <c r="O49" s="142"/>
      <c r="P49" s="142"/>
      <c r="Q49" s="332">
        <f t="shared" si="31"/>
        <v>0</v>
      </c>
      <c r="R49" s="142"/>
      <c r="S49" s="144"/>
      <c r="T49" s="142"/>
      <c r="U49" s="142"/>
      <c r="V49" s="144"/>
    </row>
    <row r="50" spans="1:22" ht="15.75" x14ac:dyDescent="0.25">
      <c r="A50" s="360"/>
      <c r="B50" s="280" t="s">
        <v>902</v>
      </c>
      <c r="C50" s="332">
        <f t="shared" si="27"/>
        <v>0</v>
      </c>
      <c r="D50" s="332">
        <f t="shared" si="28"/>
        <v>0</v>
      </c>
      <c r="E50" s="332">
        <f t="shared" si="34"/>
        <v>0</v>
      </c>
      <c r="F50" s="337"/>
      <c r="G50" s="337"/>
      <c r="H50" s="144"/>
      <c r="I50" s="337"/>
      <c r="J50" s="144"/>
      <c r="K50" s="332">
        <f t="shared" si="35"/>
        <v>0</v>
      </c>
      <c r="L50" s="142"/>
      <c r="M50" s="142"/>
      <c r="N50" s="142"/>
      <c r="O50" s="142"/>
      <c r="P50" s="142"/>
      <c r="Q50" s="332">
        <f t="shared" si="31"/>
        <v>0</v>
      </c>
      <c r="R50" s="142"/>
      <c r="S50" s="142"/>
      <c r="T50" s="142"/>
      <c r="U50" s="142"/>
      <c r="V50" s="142"/>
    </row>
    <row r="51" spans="1:22" ht="15.75" x14ac:dyDescent="0.25">
      <c r="A51" s="360"/>
      <c r="B51" s="280" t="s">
        <v>903</v>
      </c>
      <c r="C51" s="332">
        <f t="shared" si="27"/>
        <v>0</v>
      </c>
      <c r="D51" s="332">
        <f t="shared" si="28"/>
        <v>0</v>
      </c>
      <c r="E51" s="332">
        <f t="shared" si="34"/>
        <v>0</v>
      </c>
      <c r="F51" s="144"/>
      <c r="G51" s="338"/>
      <c r="H51" s="338"/>
      <c r="I51" s="141"/>
      <c r="J51" s="340"/>
      <c r="K51" s="332">
        <f t="shared" si="35"/>
        <v>0</v>
      </c>
      <c r="L51" s="142"/>
      <c r="M51" s="144"/>
      <c r="N51" s="142"/>
      <c r="O51" s="142"/>
      <c r="P51" s="144"/>
      <c r="Q51" s="332">
        <f>SUM(R51:V51)</f>
        <v>0</v>
      </c>
      <c r="R51" s="142"/>
      <c r="S51" s="144"/>
      <c r="T51" s="144"/>
      <c r="U51" s="332"/>
      <c r="V51" s="144"/>
    </row>
    <row r="52" spans="1:22" ht="15.75" x14ac:dyDescent="0.25">
      <c r="A52" s="360"/>
      <c r="B52" s="280" t="s">
        <v>904</v>
      </c>
      <c r="C52" s="332">
        <f t="shared" si="27"/>
        <v>0</v>
      </c>
      <c r="D52" s="332">
        <f t="shared" si="28"/>
        <v>0</v>
      </c>
      <c r="E52" s="332">
        <f t="shared" si="34"/>
        <v>0</v>
      </c>
      <c r="F52" s="341"/>
      <c r="G52" s="144"/>
      <c r="H52" s="142"/>
      <c r="I52" s="341"/>
      <c r="J52" s="339"/>
      <c r="K52" s="332">
        <f t="shared" si="35"/>
        <v>0</v>
      </c>
      <c r="L52" s="342"/>
      <c r="M52" s="342"/>
      <c r="N52" s="141"/>
      <c r="O52" s="342"/>
      <c r="P52" s="144"/>
      <c r="Q52" s="332">
        <f>SUM(R52:V52)</f>
        <v>0</v>
      </c>
      <c r="R52" s="142"/>
      <c r="S52" s="144"/>
      <c r="T52" s="332"/>
      <c r="U52" s="332"/>
      <c r="V52" s="332"/>
    </row>
    <row r="53" spans="1:22" ht="15.75" x14ac:dyDescent="0.25">
      <c r="A53" s="360"/>
      <c r="B53" s="280" t="s">
        <v>905</v>
      </c>
      <c r="C53" s="332">
        <f t="shared" si="27"/>
        <v>0</v>
      </c>
      <c r="D53" s="332">
        <f t="shared" si="28"/>
        <v>0</v>
      </c>
      <c r="E53" s="332">
        <f t="shared" si="34"/>
        <v>0</v>
      </c>
      <c r="F53" s="341"/>
      <c r="G53" s="341"/>
      <c r="H53" s="142"/>
      <c r="I53" s="341"/>
      <c r="J53" s="341"/>
      <c r="K53" s="332">
        <f t="shared" si="35"/>
        <v>0</v>
      </c>
      <c r="L53" s="341"/>
      <c r="M53" s="341"/>
      <c r="N53" s="148"/>
      <c r="O53" s="341"/>
      <c r="P53" s="341"/>
      <c r="Q53" s="332">
        <f t="shared" ref="Q53:Q56" si="36">SUM(R53:V53)</f>
        <v>0</v>
      </c>
      <c r="R53" s="332"/>
      <c r="S53" s="332"/>
      <c r="T53" s="332"/>
      <c r="U53" s="332"/>
      <c r="V53" s="332"/>
    </row>
    <row r="54" spans="1:22" ht="15.75" x14ac:dyDescent="0.25">
      <c r="A54" s="361"/>
      <c r="B54" s="280" t="s">
        <v>906</v>
      </c>
      <c r="C54" s="332">
        <f t="shared" si="27"/>
        <v>0</v>
      </c>
      <c r="D54" s="332">
        <f t="shared" si="28"/>
        <v>0</v>
      </c>
      <c r="E54" s="332">
        <f t="shared" si="34"/>
        <v>0</v>
      </c>
      <c r="F54" s="144"/>
      <c r="G54" s="341"/>
      <c r="H54" s="142"/>
      <c r="I54" s="341"/>
      <c r="J54" s="341"/>
      <c r="K54" s="332">
        <f t="shared" si="35"/>
        <v>0</v>
      </c>
      <c r="L54" s="332"/>
      <c r="M54" s="343"/>
      <c r="N54" s="150"/>
      <c r="O54" s="343"/>
      <c r="P54" s="343"/>
      <c r="Q54" s="332">
        <f t="shared" si="36"/>
        <v>0</v>
      </c>
      <c r="R54" s="332"/>
      <c r="S54" s="344"/>
      <c r="T54" s="332"/>
      <c r="U54" s="332"/>
      <c r="V54" s="332"/>
    </row>
    <row r="55" spans="1:22" ht="15.75" x14ac:dyDescent="0.25">
      <c r="A55" s="361"/>
      <c r="B55" s="280" t="s">
        <v>907</v>
      </c>
      <c r="C55" s="332">
        <f t="shared" si="27"/>
        <v>0</v>
      </c>
      <c r="D55" s="332">
        <f t="shared" si="28"/>
        <v>0</v>
      </c>
      <c r="E55" s="332">
        <f t="shared" si="34"/>
        <v>0</v>
      </c>
      <c r="F55" s="110"/>
      <c r="G55" s="345"/>
      <c r="H55" s="142"/>
      <c r="I55" s="341"/>
      <c r="J55" s="341"/>
      <c r="K55" s="332">
        <f t="shared" si="35"/>
        <v>0</v>
      </c>
      <c r="L55" s="332"/>
      <c r="M55" s="332"/>
      <c r="N55" s="142"/>
      <c r="O55" s="332"/>
      <c r="P55" s="346"/>
      <c r="Q55" s="332">
        <f t="shared" si="36"/>
        <v>0</v>
      </c>
      <c r="R55" s="144"/>
      <c r="S55" s="332"/>
      <c r="T55" s="332"/>
      <c r="U55" s="332"/>
      <c r="V55" s="347"/>
    </row>
    <row r="56" spans="1:22" ht="15.75" x14ac:dyDescent="0.25">
      <c r="A56" s="361"/>
      <c r="B56" s="280" t="s">
        <v>908</v>
      </c>
      <c r="C56" s="332">
        <f t="shared" si="27"/>
        <v>0</v>
      </c>
      <c r="D56" s="332">
        <f t="shared" si="28"/>
        <v>0</v>
      </c>
      <c r="E56" s="332">
        <f t="shared" si="34"/>
        <v>0</v>
      </c>
      <c r="F56" s="348"/>
      <c r="G56" s="332"/>
      <c r="H56" s="142"/>
      <c r="I56" s="332"/>
      <c r="J56" s="332"/>
      <c r="K56" s="332">
        <f t="shared" si="35"/>
        <v>0</v>
      </c>
      <c r="L56" s="332"/>
      <c r="M56" s="332"/>
      <c r="N56" s="144"/>
      <c r="O56" s="332"/>
      <c r="P56" s="332"/>
      <c r="Q56" s="332">
        <f t="shared" si="36"/>
        <v>0</v>
      </c>
      <c r="R56" s="332"/>
      <c r="S56" s="332"/>
      <c r="T56" s="332"/>
      <c r="U56" s="332"/>
      <c r="V56" s="332"/>
    </row>
    <row r="57" spans="1:22" x14ac:dyDescent="0.25">
      <c r="A57" s="362"/>
      <c r="B57" s="74" t="s">
        <v>896</v>
      </c>
      <c r="C57" s="330">
        <f t="shared" si="27"/>
        <v>11907832.200000001</v>
      </c>
      <c r="D57" s="331">
        <f>SUM(D45:D56)</f>
        <v>11907832.199999999</v>
      </c>
      <c r="E57" s="331">
        <f t="shared" ref="E57:V57" si="37">SUM(E45:E56)</f>
        <v>3465414.08</v>
      </c>
      <c r="F57" s="331">
        <f t="shared" si="37"/>
        <v>1364351.8</v>
      </c>
      <c r="G57" s="331">
        <f t="shared" si="37"/>
        <v>1238606.3900000001</v>
      </c>
      <c r="H57" s="331">
        <f t="shared" si="37"/>
        <v>301440.56999999995</v>
      </c>
      <c r="I57" s="331">
        <f t="shared" si="37"/>
        <v>84060</v>
      </c>
      <c r="J57" s="331">
        <f t="shared" si="37"/>
        <v>476955.32</v>
      </c>
      <c r="K57" s="331">
        <f t="shared" si="37"/>
        <v>6588908.3099999996</v>
      </c>
      <c r="L57" s="331">
        <f t="shared" si="37"/>
        <v>5700099.4699999997</v>
      </c>
      <c r="M57" s="331">
        <f t="shared" si="37"/>
        <v>243301.55</v>
      </c>
      <c r="N57" s="331">
        <f t="shared" si="37"/>
        <v>102456.25</v>
      </c>
      <c r="O57" s="331">
        <f t="shared" si="37"/>
        <v>0</v>
      </c>
      <c r="P57" s="331">
        <f t="shared" si="37"/>
        <v>543051.04</v>
      </c>
      <c r="Q57" s="331">
        <f t="shared" si="37"/>
        <v>1853509.81</v>
      </c>
      <c r="R57" s="331">
        <f t="shared" si="37"/>
        <v>1599473.44</v>
      </c>
      <c r="S57" s="331">
        <f t="shared" si="37"/>
        <v>157960.81</v>
      </c>
      <c r="T57" s="331">
        <f t="shared" si="37"/>
        <v>62452.36</v>
      </c>
      <c r="U57" s="331">
        <f t="shared" si="37"/>
        <v>0</v>
      </c>
      <c r="V57" s="331">
        <f t="shared" si="37"/>
        <v>33623.199999999997</v>
      </c>
    </row>
    <row r="59" spans="1:22" x14ac:dyDescent="0.25">
      <c r="H59" s="156"/>
    </row>
    <row r="61" spans="1:22" x14ac:dyDescent="0.25">
      <c r="E61" s="306"/>
      <c r="F61" s="306"/>
      <c r="G61" s="306"/>
      <c r="H61" s="306"/>
      <c r="I61" s="306"/>
      <c r="J61" s="306"/>
    </row>
    <row r="62" spans="1:22" x14ac:dyDescent="0.25">
      <c r="E62" s="307"/>
      <c r="F62" s="156"/>
      <c r="G62" s="156"/>
      <c r="H62" s="156"/>
      <c r="I62" s="156"/>
      <c r="J62" s="156"/>
    </row>
    <row r="63" spans="1:22" x14ac:dyDescent="0.25">
      <c r="G63" s="77"/>
      <c r="H63" s="77"/>
      <c r="I63" s="77"/>
      <c r="J63" s="77"/>
    </row>
    <row r="64" spans="1:22" x14ac:dyDescent="0.25">
      <c r="F64" s="349"/>
      <c r="G64" s="78"/>
      <c r="J64" s="156"/>
    </row>
    <row r="65" spans="5:9" x14ac:dyDescent="0.25">
      <c r="E65" s="306"/>
      <c r="I65" s="78"/>
    </row>
    <row r="66" spans="5:9" x14ac:dyDescent="0.25">
      <c r="E66" s="306"/>
      <c r="G66" s="156"/>
    </row>
    <row r="67" spans="5:9" x14ac:dyDescent="0.25">
      <c r="E67" s="77">
        <v>548997.99</v>
      </c>
      <c r="F67" s="156"/>
      <c r="G67" s="156"/>
    </row>
    <row r="68" spans="5:9" x14ac:dyDescent="0.25">
      <c r="E68" s="77">
        <v>116164.21</v>
      </c>
      <c r="F68" s="78"/>
    </row>
  </sheetData>
  <mergeCells count="9">
    <mergeCell ref="A45:A57"/>
    <mergeCell ref="D1:D2"/>
    <mergeCell ref="B3:B5"/>
    <mergeCell ref="A3:A5"/>
    <mergeCell ref="Q4:Q5"/>
    <mergeCell ref="K4:K5"/>
    <mergeCell ref="A32:A44"/>
    <mergeCell ref="A19:A31"/>
    <mergeCell ref="A6:A18"/>
  </mergeCells>
  <phoneticPr fontId="48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view="pageBreakPreview" zoomScale="80" zoomScaleNormal="80" zoomScaleSheetLayoutView="80" workbookViewId="0">
      <pane xSplit="2" ySplit="3" topLeftCell="C39" activePane="bottomRight" state="frozen"/>
      <selection pane="topRight" activeCell="C1" sqref="C1"/>
      <selection pane="bottomLeft" activeCell="A9" sqref="A9"/>
      <selection pane="bottomRight" activeCell="Q54" sqref="Q54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6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6" s="2" customFormat="1" ht="17.25" customHeight="1" x14ac:dyDescent="0.25">
      <c r="A2" s="79" t="s">
        <v>876</v>
      </c>
      <c r="E2" s="3"/>
      <c r="F2" s="3"/>
    </row>
    <row r="3" spans="1:16" s="1" customFormat="1" ht="139.5" customHeight="1" x14ac:dyDescent="0.35">
      <c r="A3" s="255" t="str">
        <f>IF(L!$A$1=1,L!G8,IF(L!$A$1=2,L!G18,L!G28))</f>
        <v>Viti</v>
      </c>
      <c r="B3" s="255" t="str">
        <f>IF(L!$A$1=1,L!H8,IF(L!$A$1=2,L!H18,L!H28))</f>
        <v>Viti / Muaji</v>
      </c>
      <c r="C3" s="256" t="str">
        <f>IF(L!$A$1=1,L!I8,IF(L!$A$1=2,L!I18,L!I28))</f>
        <v>Gjithsej Pranimet</v>
      </c>
      <c r="D3" s="257" t="str">
        <f>IF(L!$A$1=1,L!O8,IF(L!$A$1=2,L!O18,L!O28))</f>
        <v xml:space="preserve">Tatimi në pronë </v>
      </c>
      <c r="E3" s="258" t="s">
        <v>870</v>
      </c>
      <c r="F3" s="259" t="s">
        <v>873</v>
      </c>
      <c r="G3" s="257" t="s">
        <v>871</v>
      </c>
      <c r="H3" s="257" t="s">
        <v>878</v>
      </c>
      <c r="I3" s="257" t="s">
        <v>872</v>
      </c>
      <c r="J3" s="257" t="s">
        <v>874</v>
      </c>
      <c r="K3" s="257" t="s">
        <v>875</v>
      </c>
      <c r="L3" s="257" t="s">
        <v>879</v>
      </c>
      <c r="M3" s="257" t="s">
        <v>877</v>
      </c>
      <c r="N3" s="260"/>
    </row>
    <row r="4" spans="1:16" s="1" customFormat="1" ht="15" customHeight="1" x14ac:dyDescent="0.25">
      <c r="A4" s="168"/>
      <c r="B4" s="168"/>
      <c r="C4" s="169"/>
      <c r="D4" s="170"/>
      <c r="E4" s="171"/>
      <c r="F4" s="172"/>
      <c r="G4" s="54"/>
      <c r="H4" s="170"/>
      <c r="I4" s="54"/>
      <c r="J4" s="170"/>
      <c r="K4" s="170"/>
      <c r="L4" s="170"/>
      <c r="M4" s="170"/>
    </row>
    <row r="5" spans="1:16" s="2" customFormat="1" ht="16.5" x14ac:dyDescent="0.3">
      <c r="A5" s="371">
        <v>2023</v>
      </c>
      <c r="B5" s="4" t="str">
        <f>IF(L!$A$1=1,L!B231,IF(L!$A$1=2,L!C231,L!D231))</f>
        <v>2023 Janar</v>
      </c>
      <c r="C5" s="119">
        <f>SUM(D5:M5)</f>
        <v>383842.11</v>
      </c>
      <c r="D5" s="95">
        <v>143980.53</v>
      </c>
      <c r="E5" s="96">
        <v>12039.71</v>
      </c>
      <c r="F5" s="119">
        <v>23304</v>
      </c>
      <c r="G5" s="130">
        <v>11948</v>
      </c>
      <c r="H5" s="120"/>
      <c r="I5" s="131">
        <v>17285</v>
      </c>
      <c r="J5" s="121">
        <v>5787</v>
      </c>
      <c r="K5" s="122">
        <v>43606</v>
      </c>
      <c r="L5" s="122">
        <v>1509.87</v>
      </c>
      <c r="M5" s="119">
        <f>142307-17285-640</f>
        <v>124382</v>
      </c>
      <c r="N5" s="112"/>
    </row>
    <row r="6" spans="1:16" s="2" customFormat="1" ht="16.5" x14ac:dyDescent="0.3">
      <c r="A6" s="371"/>
      <c r="B6" s="4" t="str">
        <f>IF(L!$A$1=1,L!B232,IF(L!$A$1=2,L!C232,L!D232))</f>
        <v>2023 Shkurt</v>
      </c>
      <c r="C6" s="123">
        <f>SUM(D6:M6)</f>
        <v>583569.27</v>
      </c>
      <c r="D6" s="99">
        <v>152022.98000000001</v>
      </c>
      <c r="E6" s="100">
        <v>56784.21</v>
      </c>
      <c r="F6" s="123">
        <v>822</v>
      </c>
      <c r="G6" s="101">
        <v>11903</v>
      </c>
      <c r="H6" s="124"/>
      <c r="I6" s="101">
        <v>17355</v>
      </c>
      <c r="J6" s="159">
        <v>8986</v>
      </c>
      <c r="K6" s="125">
        <v>7396</v>
      </c>
      <c r="L6" s="125">
        <f>1006.58+2358+155524.5</f>
        <v>158889.07999999999</v>
      </c>
      <c r="M6" s="119">
        <v>169411</v>
      </c>
      <c r="N6" s="112"/>
    </row>
    <row r="7" spans="1:16" s="2" customFormat="1" ht="16.5" x14ac:dyDescent="0.3">
      <c r="A7" s="371"/>
      <c r="B7" s="4" t="str">
        <f>IF(L!$A$1=1,L!B233,IF(L!$A$1=2,L!C233,L!D233))</f>
        <v xml:space="preserve">2023 Mars </v>
      </c>
      <c r="C7" s="126">
        <f t="shared" ref="C7:C17" si="0">SUM(D7:M7)</f>
        <v>861043.16</v>
      </c>
      <c r="D7" s="127">
        <v>214342.43</v>
      </c>
      <c r="E7" s="183">
        <v>138490.56</v>
      </c>
      <c r="F7" s="119">
        <v>1674</v>
      </c>
      <c r="G7" s="97">
        <v>14614</v>
      </c>
      <c r="H7" s="97">
        <f>216452+17605</f>
        <v>234057</v>
      </c>
      <c r="I7" s="132">
        <v>21835</v>
      </c>
      <c r="J7" s="182">
        <v>9414</v>
      </c>
      <c r="K7" s="182">
        <v>8327</v>
      </c>
      <c r="L7" s="184">
        <v>145607.17000000001</v>
      </c>
      <c r="M7" s="119">
        <v>72682</v>
      </c>
      <c r="N7" s="112"/>
    </row>
    <row r="8" spans="1:16" s="2" customFormat="1" ht="16.5" x14ac:dyDescent="0.3">
      <c r="A8" s="371"/>
      <c r="B8" s="4" t="str">
        <f>IF(L!$A$1=1,L!B234,IF(L!$A$1=2,L!C234,L!D234))</f>
        <v>2023 Prill</v>
      </c>
      <c r="C8" s="126">
        <f t="shared" si="0"/>
        <v>652276.07999999996</v>
      </c>
      <c r="D8" s="158">
        <v>466021.41</v>
      </c>
      <c r="E8" s="121">
        <v>72044.47</v>
      </c>
      <c r="F8" s="119">
        <v>3866.38</v>
      </c>
      <c r="G8" s="97">
        <v>10346</v>
      </c>
      <c r="H8" s="160"/>
      <c r="I8" s="132">
        <v>15500</v>
      </c>
      <c r="J8" s="174">
        <v>7481.5</v>
      </c>
      <c r="K8" s="128">
        <v>8139</v>
      </c>
      <c r="L8" s="128">
        <v>3696.72</v>
      </c>
      <c r="M8" s="119">
        <v>65180.6</v>
      </c>
      <c r="N8" s="112"/>
    </row>
    <row r="9" spans="1:16" s="118" customFormat="1" ht="16.5" x14ac:dyDescent="0.3">
      <c r="A9" s="371"/>
      <c r="B9" s="117" t="str">
        <f>IF(L!$A$1=1,L!B235,IF(L!$A$1=2,L!C235,L!D235))</f>
        <v>2023 Maj</v>
      </c>
      <c r="C9" s="122">
        <f t="shared" si="0"/>
        <v>684147.41</v>
      </c>
      <c r="D9" s="121">
        <v>484199.7</v>
      </c>
      <c r="E9" s="96">
        <v>64778.11</v>
      </c>
      <c r="F9" s="122">
        <v>6765.1</v>
      </c>
      <c r="G9" s="185">
        <v>16017.5</v>
      </c>
      <c r="H9" s="160"/>
      <c r="I9" s="97">
        <v>20060</v>
      </c>
      <c r="J9" s="98">
        <v>9085</v>
      </c>
      <c r="K9" s="122">
        <v>17816</v>
      </c>
      <c r="L9" s="122"/>
      <c r="M9" s="122">
        <v>65426</v>
      </c>
      <c r="N9" s="112"/>
    </row>
    <row r="10" spans="1:16" s="2" customFormat="1" ht="16.5" x14ac:dyDescent="0.3">
      <c r="A10" s="371"/>
      <c r="B10" s="4" t="str">
        <f>IF(L!$A$1=1,L!B236,IF(L!$A$1=2,L!C236,L!D236))</f>
        <v>2023 Qershor</v>
      </c>
      <c r="C10" s="119">
        <f t="shared" si="0"/>
        <v>380531.57999999996</v>
      </c>
      <c r="D10" s="158">
        <v>109813.72</v>
      </c>
      <c r="E10" s="96">
        <v>22748.81</v>
      </c>
      <c r="F10" s="119">
        <v>146</v>
      </c>
      <c r="G10" s="188">
        <v>13809</v>
      </c>
      <c r="H10" s="161"/>
      <c r="I10" s="173">
        <v>23520</v>
      </c>
      <c r="J10" s="98">
        <v>6725.5</v>
      </c>
      <c r="K10" s="186">
        <v>20839</v>
      </c>
      <c r="L10" s="187">
        <v>7859.55</v>
      </c>
      <c r="M10" s="119">
        <v>175070</v>
      </c>
      <c r="N10" s="112"/>
      <c r="O10" s="112"/>
    </row>
    <row r="11" spans="1:16" s="2" customFormat="1" ht="16.5" x14ac:dyDescent="0.3">
      <c r="A11" s="371"/>
      <c r="B11" s="4" t="str">
        <f>IF(L!$A$1=1,L!B237,IF(L!$A$1=2,L!C237,L!D237))</f>
        <v>2023 Korrik</v>
      </c>
      <c r="C11" s="153">
        <f t="shared" si="0"/>
        <v>539077.85</v>
      </c>
      <c r="D11" s="191">
        <v>176202.43</v>
      </c>
      <c r="E11" s="96">
        <v>13709.06</v>
      </c>
      <c r="F11" s="119">
        <v>9167.2999999999993</v>
      </c>
      <c r="G11" s="97">
        <v>14706</v>
      </c>
      <c r="H11" s="127">
        <v>203039</v>
      </c>
      <c r="I11" s="129">
        <v>25995</v>
      </c>
      <c r="J11" s="98">
        <v>7239.5</v>
      </c>
      <c r="K11" s="122">
        <v>3199</v>
      </c>
      <c r="L11" s="122">
        <f>4517+1642.08</f>
        <v>6159.08</v>
      </c>
      <c r="M11" s="119">
        <f>85820.48-6159</f>
        <v>79661.48</v>
      </c>
      <c r="N11" s="112"/>
      <c r="O11" s="112"/>
    </row>
    <row r="12" spans="1:16" s="2" customFormat="1" ht="16.5" x14ac:dyDescent="0.3">
      <c r="A12" s="371"/>
      <c r="B12" s="4" t="str">
        <f>IF(L!$A$1=1,L!B238,IF(L!$A$1=2,L!C238,L!D238))</f>
        <v>2023 Gusht</v>
      </c>
      <c r="C12" s="153">
        <f t="shared" si="0"/>
        <v>436454.02</v>
      </c>
      <c r="D12" s="173">
        <v>257000.42</v>
      </c>
      <c r="E12" s="183">
        <v>14895.08</v>
      </c>
      <c r="F12" s="119">
        <v>7955</v>
      </c>
      <c r="G12" s="97">
        <v>20347</v>
      </c>
      <c r="H12" s="97"/>
      <c r="I12" s="132">
        <v>27340</v>
      </c>
      <c r="J12" s="121">
        <v>12097.5</v>
      </c>
      <c r="K12" s="132">
        <v>1630</v>
      </c>
      <c r="L12" s="157">
        <f>33600+82.11</f>
        <v>33682.11</v>
      </c>
      <c r="M12" s="119">
        <v>61506.91</v>
      </c>
      <c r="N12" s="112"/>
      <c r="P12" s="114"/>
    </row>
    <row r="13" spans="1:16" s="2" customFormat="1" ht="16.5" x14ac:dyDescent="0.3">
      <c r="A13" s="371"/>
      <c r="B13" s="4" t="str">
        <f>IF(L!$A$1=1,L!B239,IF(L!$A$1=2,L!C239,L!D239))</f>
        <v>2023 Shtator</v>
      </c>
      <c r="C13" s="119">
        <f t="shared" si="0"/>
        <v>419095.42</v>
      </c>
      <c r="D13" s="158">
        <v>224138.28</v>
      </c>
      <c r="E13" s="96">
        <v>79956.84</v>
      </c>
      <c r="F13" s="119">
        <v>1325.8</v>
      </c>
      <c r="G13" s="97">
        <v>15669</v>
      </c>
      <c r="H13" s="154"/>
      <c r="I13" s="129">
        <v>24595</v>
      </c>
      <c r="J13" s="98">
        <v>8293.5</v>
      </c>
      <c r="K13" s="128">
        <v>6922</v>
      </c>
      <c r="L13" s="128"/>
      <c r="M13" s="119">
        <v>58195</v>
      </c>
      <c r="N13" s="112"/>
      <c r="O13" s="112"/>
    </row>
    <row r="14" spans="1:16" s="2" customFormat="1" ht="16.5" x14ac:dyDescent="0.3">
      <c r="A14" s="371"/>
      <c r="B14" s="4" t="str">
        <f>IF(L!$A$1=1,L!B240,IF(L!$A$1=2,L!C240,L!D240))</f>
        <v>2023 Tetor</v>
      </c>
      <c r="C14" s="162">
        <f t="shared" si="0"/>
        <v>684201.33</v>
      </c>
      <c r="D14" s="102">
        <v>203914.93</v>
      </c>
      <c r="E14" s="96">
        <v>50912.2</v>
      </c>
      <c r="F14" s="162">
        <v>3451.5</v>
      </c>
      <c r="G14" s="97">
        <v>12553</v>
      </c>
      <c r="H14" s="163">
        <f>13440+256070</f>
        <v>269510</v>
      </c>
      <c r="I14" s="97">
        <v>25465</v>
      </c>
      <c r="J14" s="98">
        <v>9991.5</v>
      </c>
      <c r="K14" s="83">
        <v>10558</v>
      </c>
      <c r="L14" s="83">
        <v>39612.199999999997</v>
      </c>
      <c r="M14" s="162">
        <v>58233</v>
      </c>
      <c r="N14" s="112"/>
      <c r="P14" s="112"/>
    </row>
    <row r="15" spans="1:16" s="2" customFormat="1" ht="15.75" thickBot="1" x14ac:dyDescent="0.3">
      <c r="A15" s="371"/>
      <c r="B15" s="4" t="str">
        <f>IF(L!$A$1=1,L!B241,IF(L!$A$1=2,L!C241,L!D241))</f>
        <v xml:space="preserve">2023 Nëntor </v>
      </c>
      <c r="C15" s="164">
        <f t="shared" si="0"/>
        <v>247804.3</v>
      </c>
      <c r="D15" s="102">
        <v>110748.67</v>
      </c>
      <c r="E15" s="194">
        <v>17918.84</v>
      </c>
      <c r="F15" s="164">
        <v>2061.1</v>
      </c>
      <c r="G15" s="164">
        <v>25806</v>
      </c>
      <c r="H15" s="164"/>
      <c r="I15" s="164">
        <v>21370</v>
      </c>
      <c r="J15" s="164">
        <v>9575.5</v>
      </c>
      <c r="K15" s="164">
        <v>8431</v>
      </c>
      <c r="L15" s="164">
        <v>1724.19</v>
      </c>
      <c r="M15" s="164">
        <v>50169</v>
      </c>
      <c r="N15" s="112"/>
      <c r="P15" s="112"/>
    </row>
    <row r="16" spans="1:16" s="2" customFormat="1" ht="21.75" customHeight="1" thickBot="1" x14ac:dyDescent="0.35">
      <c r="A16" s="371"/>
      <c r="B16" s="4" t="str">
        <f>IF(L!$A$1=1,L!B242,IF(L!$A$1=2,L!C242,L!D242))</f>
        <v>2023 Dhjetor</v>
      </c>
      <c r="C16" s="164">
        <f t="shared" si="0"/>
        <v>560136.59000000008</v>
      </c>
      <c r="D16" s="102">
        <v>218620.89</v>
      </c>
      <c r="E16" s="194">
        <v>80281.509999999995</v>
      </c>
      <c r="F16" s="193">
        <v>45097.36</v>
      </c>
      <c r="G16" s="164">
        <v>-712.8</v>
      </c>
      <c r="H16" s="164"/>
      <c r="I16" s="164">
        <v>21940</v>
      </c>
      <c r="J16" s="165">
        <v>12248</v>
      </c>
      <c r="K16" s="166">
        <v>9597</v>
      </c>
      <c r="L16" s="167"/>
      <c r="M16" s="164">
        <v>173064.63</v>
      </c>
      <c r="P16" s="114"/>
    </row>
    <row r="17" spans="1:16" s="2" customFormat="1" x14ac:dyDescent="0.25">
      <c r="A17" s="371"/>
      <c r="B17" s="5" t="str">
        <f>IF(L!$A$1=1,L!B243,IF(L!$A$1=2,L!C243,L!D243))</f>
        <v>Gjithsej 2023</v>
      </c>
      <c r="C17" s="81">
        <f t="shared" si="0"/>
        <v>6432179.1200000001</v>
      </c>
      <c r="D17" s="82">
        <f>SUM(D5:D16)</f>
        <v>2761006.39</v>
      </c>
      <c r="E17" s="82">
        <f>SUM(E5:E16)</f>
        <v>624559.39999999991</v>
      </c>
      <c r="F17" s="82">
        <f>SUM(F5:F16)</f>
        <v>105635.54000000001</v>
      </c>
      <c r="G17" s="82">
        <f t="shared" ref="G17:L17" si="1">SUM(G5:G16)</f>
        <v>167005.70000000001</v>
      </c>
      <c r="H17" s="82">
        <f t="shared" si="1"/>
        <v>706606</v>
      </c>
      <c r="I17" s="82">
        <f t="shared" si="1"/>
        <v>262260</v>
      </c>
      <c r="J17" s="82">
        <f t="shared" si="1"/>
        <v>106924.5</v>
      </c>
      <c r="K17" s="82">
        <f t="shared" si="1"/>
        <v>146460</v>
      </c>
      <c r="L17" s="82">
        <f t="shared" si="1"/>
        <v>398739.97</v>
      </c>
      <c r="M17" s="82">
        <f>SUM(M5:M16)</f>
        <v>1152981.6200000001</v>
      </c>
      <c r="O17" s="112"/>
      <c r="P17" s="114"/>
    </row>
    <row r="18" spans="1:16" s="2" customFormat="1" ht="16.5" x14ac:dyDescent="0.3">
      <c r="A18" s="371">
        <v>2024</v>
      </c>
      <c r="B18" s="4" t="s">
        <v>881</v>
      </c>
      <c r="C18" s="211">
        <f>SUM(D18:M18)</f>
        <v>322865.37</v>
      </c>
      <c r="D18" s="246">
        <v>117550.5</v>
      </c>
      <c r="E18" s="212">
        <v>68061.38</v>
      </c>
      <c r="F18" s="211"/>
      <c r="G18" s="213">
        <v>21850.6</v>
      </c>
      <c r="H18" s="214"/>
      <c r="I18" s="215">
        <v>18110.5</v>
      </c>
      <c r="J18" s="215">
        <v>6305</v>
      </c>
      <c r="K18" s="216">
        <v>40866.199999999997</v>
      </c>
      <c r="L18" s="216">
        <v>10320.19</v>
      </c>
      <c r="M18" s="211">
        <v>39801</v>
      </c>
      <c r="N18" s="112"/>
    </row>
    <row r="19" spans="1:16" s="2" customFormat="1" ht="16.5" x14ac:dyDescent="0.3">
      <c r="A19" s="371"/>
      <c r="B19" s="6" t="s">
        <v>882</v>
      </c>
      <c r="C19" s="219">
        <f>SUM(D19:M19)</f>
        <v>240840.58000000002</v>
      </c>
      <c r="D19" s="247">
        <v>113147.16</v>
      </c>
      <c r="E19" s="220">
        <v>12187.52</v>
      </c>
      <c r="F19" s="219">
        <v>2762.4</v>
      </c>
      <c r="G19" s="221">
        <v>11184.5</v>
      </c>
      <c r="H19" s="222"/>
      <c r="I19" s="221">
        <v>19880</v>
      </c>
      <c r="J19" s="166">
        <v>8885</v>
      </c>
      <c r="K19" s="223">
        <v>12435</v>
      </c>
      <c r="L19" s="223"/>
      <c r="M19" s="219">
        <v>60359</v>
      </c>
      <c r="N19" s="112"/>
    </row>
    <row r="20" spans="1:16" s="2" customFormat="1" ht="16.5" x14ac:dyDescent="0.3">
      <c r="A20" s="371"/>
      <c r="B20" s="6" t="s">
        <v>883</v>
      </c>
      <c r="C20" s="224">
        <f t="shared" ref="C20:C30" si="2">SUM(D20:M20)</f>
        <v>550791.57999999996</v>
      </c>
      <c r="D20" s="248">
        <v>167481.01999999999</v>
      </c>
      <c r="E20" s="183">
        <v>223827.9</v>
      </c>
      <c r="F20" s="219">
        <v>14500.16</v>
      </c>
      <c r="G20" s="221">
        <v>10210</v>
      </c>
      <c r="H20" s="221"/>
      <c r="I20" s="132">
        <v>22135</v>
      </c>
      <c r="J20" s="225">
        <v>7841.5</v>
      </c>
      <c r="K20" s="225">
        <v>10929</v>
      </c>
      <c r="L20" s="226"/>
      <c r="M20" s="219">
        <v>93867</v>
      </c>
      <c r="N20" s="112"/>
    </row>
    <row r="21" spans="1:16" s="2" customFormat="1" ht="16.5" x14ac:dyDescent="0.3">
      <c r="A21" s="371"/>
      <c r="B21" s="6" t="s">
        <v>884</v>
      </c>
      <c r="C21" s="224">
        <f t="shared" si="2"/>
        <v>795539.16</v>
      </c>
      <c r="D21" s="249">
        <v>336722.02</v>
      </c>
      <c r="E21" s="227">
        <v>109405.98999999999</v>
      </c>
      <c r="F21" s="219">
        <v>763.08</v>
      </c>
      <c r="G21" s="220">
        <v>13522.15</v>
      </c>
      <c r="H21" s="235">
        <f>16990+159759</f>
        <v>176749</v>
      </c>
      <c r="I21" s="236">
        <v>21486</v>
      </c>
      <c r="J21" s="173">
        <v>6583.5</v>
      </c>
      <c r="K21" s="229">
        <v>10730</v>
      </c>
      <c r="L21" s="229">
        <v>8690</v>
      </c>
      <c r="M21" s="219">
        <f>110789.8+97.62</f>
        <v>110887.42</v>
      </c>
      <c r="N21" s="112"/>
    </row>
    <row r="22" spans="1:16" s="118" customFormat="1" ht="16.5" x14ac:dyDescent="0.3">
      <c r="A22" s="371"/>
      <c r="B22" s="210" t="s">
        <v>885</v>
      </c>
      <c r="C22" s="223">
        <f t="shared" si="2"/>
        <v>384613.46</v>
      </c>
      <c r="D22" s="250">
        <v>196234.45</v>
      </c>
      <c r="E22" s="220">
        <v>30109.63</v>
      </c>
      <c r="F22" s="223">
        <v>276</v>
      </c>
      <c r="G22" s="228">
        <v>10091</v>
      </c>
      <c r="H22" s="235"/>
      <c r="I22" s="220">
        <v>22685</v>
      </c>
      <c r="J22" s="229">
        <v>9085.5</v>
      </c>
      <c r="K22" s="237">
        <v>14097</v>
      </c>
      <c r="L22" s="237">
        <v>30452.880000000001</v>
      </c>
      <c r="M22" s="223">
        <v>71582</v>
      </c>
      <c r="N22" s="112"/>
      <c r="O22" s="209"/>
      <c r="P22" s="209"/>
    </row>
    <row r="23" spans="1:16" s="2" customFormat="1" ht="16.5" x14ac:dyDescent="0.3">
      <c r="A23" s="371"/>
      <c r="B23" s="6" t="s">
        <v>886</v>
      </c>
      <c r="C23" s="219">
        <f t="shared" si="2"/>
        <v>273949.73</v>
      </c>
      <c r="D23" s="249">
        <v>109146.55</v>
      </c>
      <c r="E23" s="220">
        <v>26723.91</v>
      </c>
      <c r="F23" s="219">
        <v>5778.27</v>
      </c>
      <c r="G23" s="228">
        <v>10447</v>
      </c>
      <c r="H23" s="238"/>
      <c r="I23" s="173">
        <v>23830</v>
      </c>
      <c r="J23" s="229">
        <v>6892</v>
      </c>
      <c r="K23" s="239">
        <v>21466</v>
      </c>
      <c r="L23" s="226"/>
      <c r="M23" s="219">
        <v>69666</v>
      </c>
      <c r="N23" s="112"/>
      <c r="O23" s="112"/>
    </row>
    <row r="24" spans="1:16" s="2" customFormat="1" ht="16.5" x14ac:dyDescent="0.3">
      <c r="A24" s="371"/>
      <c r="B24" s="6" t="s">
        <v>887</v>
      </c>
      <c r="C24" s="230">
        <f t="shared" si="2"/>
        <v>1774284</v>
      </c>
      <c r="D24" s="251">
        <v>141541.19</v>
      </c>
      <c r="E24" s="220">
        <v>341385.62</v>
      </c>
      <c r="F24" s="219"/>
      <c r="G24" s="220">
        <v>12128</v>
      </c>
      <c r="H24" s="240">
        <f>52860+94954+69430+7410+6745+2850</f>
        <v>234249</v>
      </c>
      <c r="I24" s="241">
        <v>31235.5</v>
      </c>
      <c r="J24" s="229">
        <v>10368</v>
      </c>
      <c r="K24" s="237">
        <v>11465</v>
      </c>
      <c r="L24" s="237">
        <v>926953.19000000006</v>
      </c>
      <c r="M24" s="219">
        <f>64959-0.5</f>
        <v>64958.5</v>
      </c>
      <c r="N24" s="112"/>
      <c r="O24" s="112"/>
    </row>
    <row r="25" spans="1:16" s="2" customFormat="1" ht="16.5" x14ac:dyDescent="0.3">
      <c r="A25" s="371"/>
      <c r="B25" s="6" t="s">
        <v>888</v>
      </c>
      <c r="C25" s="230">
        <f t="shared" si="2"/>
        <v>393901.12</v>
      </c>
      <c r="D25" s="252">
        <v>196601.67</v>
      </c>
      <c r="E25" s="183">
        <v>39215.33</v>
      </c>
      <c r="F25" s="219">
        <v>848.75</v>
      </c>
      <c r="G25" s="220">
        <v>19350</v>
      </c>
      <c r="H25" s="220"/>
      <c r="I25" s="236">
        <v>27590</v>
      </c>
      <c r="J25" s="242">
        <v>15256</v>
      </c>
      <c r="K25" s="236">
        <v>1281</v>
      </c>
      <c r="L25" s="236">
        <v>26218.12</v>
      </c>
      <c r="M25" s="219">
        <v>67540.25</v>
      </c>
      <c r="N25" s="112"/>
      <c r="P25" s="114"/>
    </row>
    <row r="26" spans="1:16" s="2" customFormat="1" ht="16.5" x14ac:dyDescent="0.3">
      <c r="A26" s="371"/>
      <c r="B26" s="6" t="s">
        <v>889</v>
      </c>
      <c r="C26" s="219">
        <f t="shared" si="2"/>
        <v>406146.89</v>
      </c>
      <c r="D26" s="249">
        <v>158978.25</v>
      </c>
      <c r="E26" s="220">
        <v>141685.09000000003</v>
      </c>
      <c r="F26" s="219">
        <v>5425.55</v>
      </c>
      <c r="G26" s="220">
        <v>12205</v>
      </c>
      <c r="H26" s="243"/>
      <c r="I26" s="241">
        <v>24915</v>
      </c>
      <c r="J26" s="229">
        <v>6395</v>
      </c>
      <c r="K26" s="229">
        <v>13551</v>
      </c>
      <c r="L26" s="229"/>
      <c r="M26" s="219">
        <v>42992</v>
      </c>
      <c r="N26" s="112"/>
      <c r="O26" s="112"/>
    </row>
    <row r="27" spans="1:16" s="2" customFormat="1" ht="16.5" x14ac:dyDescent="0.3">
      <c r="A27" s="371"/>
      <c r="B27" s="6" t="s">
        <v>890</v>
      </c>
      <c r="C27" s="231">
        <f t="shared" si="2"/>
        <v>1145290.6100000001</v>
      </c>
      <c r="D27" s="253">
        <v>315922.53000000003</v>
      </c>
      <c r="E27" s="220">
        <v>18908.14</v>
      </c>
      <c r="F27" s="231">
        <v>10515.9</v>
      </c>
      <c r="G27" s="220">
        <v>14931</v>
      </c>
      <c r="H27" s="244">
        <v>381018.5</v>
      </c>
      <c r="I27" s="220">
        <v>26630</v>
      </c>
      <c r="J27" s="229">
        <v>13880.5</v>
      </c>
      <c r="K27" s="245">
        <v>20491.18</v>
      </c>
      <c r="L27" s="245">
        <v>204599.35</v>
      </c>
      <c r="M27" s="231">
        <v>138393.51</v>
      </c>
      <c r="N27" s="112"/>
      <c r="O27" s="114"/>
      <c r="P27" s="112"/>
    </row>
    <row r="28" spans="1:16" s="2" customFormat="1" x14ac:dyDescent="0.25">
      <c r="A28" s="371"/>
      <c r="B28" s="6" t="s">
        <v>891</v>
      </c>
      <c r="C28" s="233">
        <f t="shared" si="2"/>
        <v>248231.88999999998</v>
      </c>
      <c r="D28" s="232">
        <v>121053.06</v>
      </c>
      <c r="E28" s="233">
        <v>32977.229999999996</v>
      </c>
      <c r="F28" s="233">
        <v>16781.099999999999</v>
      </c>
      <c r="G28" s="233">
        <v>9197</v>
      </c>
      <c r="H28" s="233"/>
      <c r="I28" s="233">
        <v>22285</v>
      </c>
      <c r="J28" s="233">
        <v>7361.5</v>
      </c>
      <c r="K28" s="233">
        <v>16022</v>
      </c>
      <c r="L28" s="233"/>
      <c r="M28" s="233">
        <v>22555</v>
      </c>
      <c r="N28" s="112"/>
      <c r="O28" s="114"/>
      <c r="P28" s="114"/>
    </row>
    <row r="29" spans="1:16" s="2" customFormat="1" ht="21.75" customHeight="1" x14ac:dyDescent="0.3">
      <c r="A29" s="371"/>
      <c r="B29" s="6" t="s">
        <v>892</v>
      </c>
      <c r="C29" s="233">
        <f t="shared" si="2"/>
        <v>693115.9</v>
      </c>
      <c r="D29" s="232">
        <v>234304.29</v>
      </c>
      <c r="E29" s="233">
        <v>186729.66</v>
      </c>
      <c r="F29" s="233">
        <v>32472.35</v>
      </c>
      <c r="G29" s="233">
        <v>12133.5</v>
      </c>
      <c r="H29" s="233">
        <v>33000</v>
      </c>
      <c r="I29" s="233">
        <v>25185</v>
      </c>
      <c r="J29" s="234">
        <v>13494</v>
      </c>
      <c r="K29" s="166">
        <v>15473</v>
      </c>
      <c r="L29" s="166"/>
      <c r="M29" s="233">
        <v>140324.1</v>
      </c>
      <c r="O29" s="114"/>
      <c r="P29" s="114"/>
    </row>
    <row r="30" spans="1:16" s="2" customFormat="1" x14ac:dyDescent="0.25">
      <c r="A30" s="371"/>
      <c r="B30" s="5" t="s">
        <v>794</v>
      </c>
      <c r="C30" s="217">
        <f t="shared" si="2"/>
        <v>7229570.29</v>
      </c>
      <c r="D30" s="218">
        <f>SUM(D18:D29)</f>
        <v>2208682.69</v>
      </c>
      <c r="E30" s="218">
        <f>SUM(E18:E29)</f>
        <v>1231217.3999999999</v>
      </c>
      <c r="F30" s="218">
        <f>SUM(F18:F29)</f>
        <v>90123.56</v>
      </c>
      <c r="G30" s="218">
        <f t="shared" ref="G30:L30" si="3">SUM(G18:G29)</f>
        <v>157249.75</v>
      </c>
      <c r="H30" s="218">
        <f t="shared" si="3"/>
        <v>825016.5</v>
      </c>
      <c r="I30" s="218">
        <f>SUM(I18:I29)</f>
        <v>285967</v>
      </c>
      <c r="J30" s="218">
        <f t="shared" si="3"/>
        <v>112347.5</v>
      </c>
      <c r="K30" s="218">
        <f t="shared" si="3"/>
        <v>188806.38</v>
      </c>
      <c r="L30" s="218">
        <f t="shared" si="3"/>
        <v>1207233.73</v>
      </c>
      <c r="M30" s="218">
        <f>SUM(M18:M29)</f>
        <v>922925.77999999991</v>
      </c>
      <c r="O30" s="114"/>
      <c r="P30" s="114"/>
    </row>
    <row r="31" spans="1:16" s="2" customFormat="1" ht="21" x14ac:dyDescent="0.35">
      <c r="A31" s="371">
        <v>2025</v>
      </c>
      <c r="B31" s="279" t="s">
        <v>795</v>
      </c>
      <c r="C31" s="264">
        <f>SUM(D31:M31)</f>
        <v>244550.24</v>
      </c>
      <c r="D31" s="265">
        <v>93229.94</v>
      </c>
      <c r="E31" s="266">
        <v>16138.8</v>
      </c>
      <c r="F31" s="264">
        <v>9656</v>
      </c>
      <c r="G31" s="267">
        <v>8690</v>
      </c>
      <c r="H31" s="268"/>
      <c r="I31" s="269">
        <v>20860</v>
      </c>
      <c r="J31" s="269">
        <v>3107</v>
      </c>
      <c r="K31" s="270">
        <v>46207</v>
      </c>
      <c r="L31" s="270"/>
      <c r="M31" s="264">
        <v>46661.5</v>
      </c>
      <c r="N31" s="261"/>
      <c r="P31" s="114"/>
    </row>
    <row r="32" spans="1:16" s="2" customFormat="1" ht="21" x14ac:dyDescent="0.35">
      <c r="A32" s="371"/>
      <c r="B32" s="280" t="s">
        <v>893</v>
      </c>
      <c r="C32" s="271">
        <f>SUM(D32:M32)</f>
        <v>317490.95</v>
      </c>
      <c r="D32" s="284">
        <v>163093.26999999999</v>
      </c>
      <c r="E32" s="285">
        <v>16468.29</v>
      </c>
      <c r="F32" s="286">
        <v>6247</v>
      </c>
      <c r="G32" s="287">
        <v>11152.5</v>
      </c>
      <c r="H32" s="288"/>
      <c r="I32" s="287">
        <v>20970</v>
      </c>
      <c r="J32" s="272">
        <v>20367.5</v>
      </c>
      <c r="K32" s="289">
        <v>16409</v>
      </c>
      <c r="L32" s="289">
        <v>1848.39</v>
      </c>
      <c r="M32" s="286">
        <v>60935</v>
      </c>
      <c r="N32" s="261"/>
      <c r="P32" s="112"/>
    </row>
    <row r="33" spans="1:18" s="2" customFormat="1" ht="21" x14ac:dyDescent="0.35">
      <c r="A33" s="371"/>
      <c r="B33" s="280" t="s">
        <v>894</v>
      </c>
      <c r="C33" s="274">
        <f t="shared" ref="C33:C43" si="4">SUM(D33:M33)</f>
        <v>569213.53</v>
      </c>
      <c r="D33" s="290">
        <v>153541.67000000001</v>
      </c>
      <c r="E33" s="291">
        <v>43081.36</v>
      </c>
      <c r="F33" s="286">
        <v>27405</v>
      </c>
      <c r="G33" s="287">
        <v>9175</v>
      </c>
      <c r="H33" s="287">
        <v>262828</v>
      </c>
      <c r="I33" s="275">
        <v>23875</v>
      </c>
      <c r="J33" s="276">
        <v>8208.5</v>
      </c>
      <c r="K33" s="276">
        <v>16608</v>
      </c>
      <c r="L33" s="292"/>
      <c r="M33" s="286">
        <v>24491</v>
      </c>
      <c r="N33" s="261"/>
      <c r="P33" s="112"/>
    </row>
    <row r="34" spans="1:18" s="2" customFormat="1" ht="21" x14ac:dyDescent="0.35">
      <c r="A34" s="371"/>
      <c r="B34" s="280" t="s">
        <v>804</v>
      </c>
      <c r="C34" s="274">
        <f t="shared" si="4"/>
        <v>715655.32</v>
      </c>
      <c r="D34" s="290">
        <v>396428.29</v>
      </c>
      <c r="E34" s="277">
        <v>103004.63</v>
      </c>
      <c r="F34" s="286">
        <v>20794.55</v>
      </c>
      <c r="G34" s="285">
        <v>9707</v>
      </c>
      <c r="H34" s="293"/>
      <c r="I34" s="278">
        <v>25340</v>
      </c>
      <c r="J34" s="294">
        <v>10629.5</v>
      </c>
      <c r="K34" s="295">
        <v>15452</v>
      </c>
      <c r="L34" s="295">
        <v>68858.850000000006</v>
      </c>
      <c r="M34" s="286">
        <v>65440.5</v>
      </c>
      <c r="N34" s="261"/>
      <c r="O34" s="254"/>
      <c r="P34" s="114"/>
    </row>
    <row r="35" spans="1:18" s="118" customFormat="1" ht="21" x14ac:dyDescent="0.35">
      <c r="A35" s="371"/>
      <c r="B35" s="281" t="s">
        <v>806</v>
      </c>
      <c r="C35" s="273">
        <f t="shared" si="4"/>
        <v>508687.86</v>
      </c>
      <c r="D35" s="277">
        <v>279359.98</v>
      </c>
      <c r="E35" s="285">
        <v>66897.33</v>
      </c>
      <c r="F35" s="289">
        <v>24488.35</v>
      </c>
      <c r="G35" s="296">
        <v>9835</v>
      </c>
      <c r="H35" s="293"/>
      <c r="I35" s="285">
        <v>25440</v>
      </c>
      <c r="J35" s="295">
        <v>11449</v>
      </c>
      <c r="K35" s="297">
        <v>28532</v>
      </c>
      <c r="L35" s="297"/>
      <c r="M35" s="289">
        <f>62666.2+20</f>
        <v>62686.2</v>
      </c>
      <c r="N35" s="261"/>
      <c r="O35" s="209"/>
      <c r="P35" s="209"/>
    </row>
    <row r="36" spans="1:18" s="2" customFormat="1" ht="21" x14ac:dyDescent="0.35">
      <c r="A36" s="371"/>
      <c r="B36" s="280" t="s">
        <v>808</v>
      </c>
      <c r="C36" s="271">
        <f t="shared" si="4"/>
        <v>1165038.1600000001</v>
      </c>
      <c r="D36" s="290">
        <v>115955.21</v>
      </c>
      <c r="E36" s="285">
        <v>206707.14</v>
      </c>
      <c r="F36" s="286">
        <v>4048</v>
      </c>
      <c r="G36" s="296">
        <v>9018</v>
      </c>
      <c r="H36" s="298">
        <v>317752.31</v>
      </c>
      <c r="I36" s="294">
        <v>27310</v>
      </c>
      <c r="J36" s="295">
        <v>7802.5</v>
      </c>
      <c r="K36" s="299">
        <v>24671</v>
      </c>
      <c r="L36" s="292"/>
      <c r="M36" s="286">
        <f>449270+2504</f>
        <v>451774</v>
      </c>
      <c r="N36" s="261"/>
      <c r="O36" s="112"/>
      <c r="P36" s="112"/>
    </row>
    <row r="37" spans="1:18" s="2" customFormat="1" ht="16.5" x14ac:dyDescent="0.3">
      <c r="A37" s="371"/>
      <c r="B37" s="280" t="s">
        <v>811</v>
      </c>
      <c r="C37" s="230">
        <f t="shared" si="4"/>
        <v>585542.49</v>
      </c>
      <c r="D37" s="114">
        <v>163653.18</v>
      </c>
      <c r="E37" s="300">
        <v>224563.19</v>
      </c>
      <c r="F37" s="230"/>
      <c r="G37" s="300">
        <v>15907</v>
      </c>
      <c r="H37" s="242"/>
      <c r="I37" s="236">
        <v>33805</v>
      </c>
      <c r="J37" s="301">
        <v>10869.5</v>
      </c>
      <c r="K37" s="302">
        <v>10689</v>
      </c>
      <c r="L37" s="302">
        <v>23493</v>
      </c>
      <c r="M37" s="230">
        <v>102562.62</v>
      </c>
      <c r="N37" s="112"/>
      <c r="O37" s="112"/>
    </row>
    <row r="38" spans="1:18" s="2" customFormat="1" ht="16.5" x14ac:dyDescent="0.3">
      <c r="A38" s="371"/>
      <c r="B38" s="280" t="s">
        <v>814</v>
      </c>
      <c r="C38" s="230">
        <f t="shared" si="4"/>
        <v>375159.66</v>
      </c>
      <c r="D38" s="303">
        <v>192960.49</v>
      </c>
      <c r="E38" s="304">
        <v>23967.67</v>
      </c>
      <c r="F38" s="230">
        <v>9201</v>
      </c>
      <c r="G38" s="300">
        <v>19051</v>
      </c>
      <c r="H38" s="300"/>
      <c r="I38" s="236">
        <v>29485</v>
      </c>
      <c r="J38" s="242">
        <v>14681.5</v>
      </c>
      <c r="K38" s="236">
        <v>109</v>
      </c>
      <c r="L38" s="236"/>
      <c r="M38" s="230">
        <v>85704</v>
      </c>
      <c r="N38" s="112"/>
      <c r="P38" s="114"/>
    </row>
    <row r="39" spans="1:18" s="2" customFormat="1" ht="16.5" x14ac:dyDescent="0.3">
      <c r="A39" s="371"/>
      <c r="B39" s="280" t="s">
        <v>817</v>
      </c>
      <c r="C39" s="219">
        <f t="shared" si="4"/>
        <v>966874.09</v>
      </c>
      <c r="D39" s="305">
        <v>223690</v>
      </c>
      <c r="E39" s="2">
        <v>33143.19</v>
      </c>
      <c r="F39" s="230">
        <v>1181.3</v>
      </c>
      <c r="G39" s="300">
        <v>13624</v>
      </c>
      <c r="H39" s="243">
        <v>362745</v>
      </c>
      <c r="I39" s="300">
        <v>27840</v>
      </c>
      <c r="J39" s="301">
        <v>11754.5</v>
      </c>
      <c r="K39" s="301">
        <v>14538</v>
      </c>
      <c r="L39" s="301"/>
      <c r="M39" s="230">
        <f>277908.1+450</f>
        <v>278358.09999999998</v>
      </c>
      <c r="N39" s="112"/>
      <c r="O39" s="112"/>
    </row>
    <row r="40" spans="1:18" s="2" customFormat="1" ht="16.5" x14ac:dyDescent="0.3">
      <c r="A40" s="371"/>
      <c r="B40" s="280" t="s">
        <v>820</v>
      </c>
      <c r="C40" s="231">
        <f t="shared" si="4"/>
        <v>967512.06</v>
      </c>
      <c r="D40" s="253">
        <v>169234.1</v>
      </c>
      <c r="E40" s="220">
        <v>370049.46</v>
      </c>
      <c r="F40" s="231">
        <v>746.5</v>
      </c>
      <c r="G40" s="220">
        <v>11644.5</v>
      </c>
      <c r="H40" s="244"/>
      <c r="I40" s="220">
        <v>27560</v>
      </c>
      <c r="J40" s="229">
        <v>11381.5</v>
      </c>
      <c r="K40" s="245">
        <v>22204</v>
      </c>
      <c r="L40" s="245"/>
      <c r="M40" s="231">
        <v>354692</v>
      </c>
      <c r="N40" s="112"/>
      <c r="O40" s="114"/>
      <c r="P40" s="112"/>
    </row>
    <row r="41" spans="1:18" s="2" customFormat="1" ht="23.25" customHeight="1" x14ac:dyDescent="0.25">
      <c r="A41" s="371"/>
      <c r="B41" s="280" t="s">
        <v>895</v>
      </c>
      <c r="C41" s="233">
        <f t="shared" si="4"/>
        <v>234124.13</v>
      </c>
      <c r="D41" s="232">
        <v>87540.95</v>
      </c>
      <c r="E41" s="233">
        <v>59330.18</v>
      </c>
      <c r="F41" s="233">
        <v>9773</v>
      </c>
      <c r="G41" s="233">
        <v>8491</v>
      </c>
      <c r="H41" s="233"/>
      <c r="I41" s="233">
        <v>23140</v>
      </c>
      <c r="J41" s="233">
        <v>8431</v>
      </c>
      <c r="K41" s="233">
        <v>15790</v>
      </c>
      <c r="L41" s="233"/>
      <c r="M41" s="233">
        <v>21628</v>
      </c>
      <c r="N41" s="112"/>
      <c r="O41" s="114"/>
      <c r="P41" s="114"/>
    </row>
    <row r="42" spans="1:18" s="2" customFormat="1" ht="24" customHeight="1" x14ac:dyDescent="0.3">
      <c r="A42" s="371"/>
      <c r="B42" s="280" t="s">
        <v>826</v>
      </c>
      <c r="C42" s="233">
        <f t="shared" si="4"/>
        <v>1387441.2499999998</v>
      </c>
      <c r="D42" s="232">
        <v>180088.34</v>
      </c>
      <c r="E42" s="233">
        <v>590724.71</v>
      </c>
      <c r="F42" s="233">
        <v>31077</v>
      </c>
      <c r="G42" s="233">
        <v>11200</v>
      </c>
      <c r="H42" s="233">
        <v>290543.98</v>
      </c>
      <c r="I42" s="233">
        <v>27460</v>
      </c>
      <c r="J42" s="234">
        <v>15261.5</v>
      </c>
      <c r="K42" s="166">
        <v>17238</v>
      </c>
      <c r="L42" s="166">
        <v>144135</v>
      </c>
      <c r="M42" s="233">
        <v>79712.72</v>
      </c>
      <c r="O42" s="114"/>
      <c r="P42" s="114"/>
    </row>
    <row r="43" spans="1:18" s="2" customFormat="1" ht="21" x14ac:dyDescent="0.35">
      <c r="A43" s="372"/>
      <c r="B43" s="262" t="s">
        <v>794</v>
      </c>
      <c r="C43" s="282">
        <f t="shared" si="4"/>
        <v>5950336.2999999998</v>
      </c>
      <c r="D43" s="283">
        <v>131821.98000000001</v>
      </c>
      <c r="E43" s="283">
        <f>SUM(E31:E42)</f>
        <v>1754075.95</v>
      </c>
      <c r="F43" s="283">
        <f>SUM(F31:F42)</f>
        <v>144617.70000000001</v>
      </c>
      <c r="G43" s="283">
        <f t="shared" ref="G43:H43" si="5">SUM(G31:G42)</f>
        <v>137495</v>
      </c>
      <c r="H43" s="283">
        <f t="shared" si="5"/>
        <v>1233869.29</v>
      </c>
      <c r="I43" s="283">
        <f>SUM(I31:I42)</f>
        <v>313085</v>
      </c>
      <c r="J43" s="283">
        <f t="shared" ref="J43:L43" si="6">SUM(J31:J42)</f>
        <v>133943.5</v>
      </c>
      <c r="K43" s="283">
        <f t="shared" si="6"/>
        <v>228447</v>
      </c>
      <c r="L43" s="283">
        <f t="shared" si="6"/>
        <v>238335.24</v>
      </c>
      <c r="M43" s="283">
        <f>SUM(M31:M42)</f>
        <v>1634645.64</v>
      </c>
      <c r="N43" s="263">
        <v>1</v>
      </c>
      <c r="O43" s="114"/>
      <c r="P43" s="114"/>
    </row>
    <row r="44" spans="1:18" s="2" customFormat="1" ht="21" x14ac:dyDescent="0.35">
      <c r="A44" s="371">
        <v>2026</v>
      </c>
      <c r="B44" s="279" t="s">
        <v>897</v>
      </c>
      <c r="C44" s="309">
        <f>SUM(D44:M44)</f>
        <v>495387.5</v>
      </c>
      <c r="D44" s="310">
        <v>131821.98000000001</v>
      </c>
      <c r="E44" s="311">
        <v>77849.710000000006</v>
      </c>
      <c r="F44" s="309">
        <v>7415</v>
      </c>
      <c r="G44" s="312">
        <v>9031</v>
      </c>
      <c r="H44" s="313"/>
      <c r="I44" s="314">
        <v>22410</v>
      </c>
      <c r="J44" s="314">
        <v>6910.5</v>
      </c>
      <c r="K44" s="315">
        <v>44950</v>
      </c>
      <c r="L44" s="315">
        <f>46372.31+10</f>
        <v>46382.31</v>
      </c>
      <c r="M44" s="309">
        <f>101955+46662</f>
        <v>148617</v>
      </c>
      <c r="N44" s="261"/>
      <c r="P44" s="114"/>
      <c r="Q44" s="114"/>
      <c r="R44" s="114"/>
    </row>
    <row r="45" spans="1:18" s="2" customFormat="1" ht="21" x14ac:dyDescent="0.35">
      <c r="A45" s="371"/>
      <c r="B45" s="280" t="s">
        <v>898</v>
      </c>
      <c r="C45" s="271">
        <f>SUM(D45:M45)</f>
        <v>253904.65</v>
      </c>
      <c r="D45" s="316">
        <v>46381.65</v>
      </c>
      <c r="E45" s="317">
        <v>103536.25</v>
      </c>
      <c r="F45" s="271">
        <v>23550.75</v>
      </c>
      <c r="G45" s="318">
        <v>7184</v>
      </c>
      <c r="H45" s="319"/>
      <c r="I45" s="318">
        <v>21415</v>
      </c>
      <c r="J45" s="320">
        <v>9450.5</v>
      </c>
      <c r="K45" s="273">
        <v>22611</v>
      </c>
      <c r="L45" s="273"/>
      <c r="M45" s="271">
        <v>19775.5</v>
      </c>
      <c r="N45" s="261"/>
      <c r="P45" s="114"/>
    </row>
    <row r="46" spans="1:18" s="2" customFormat="1" ht="21" x14ac:dyDescent="0.35">
      <c r="A46" s="371"/>
      <c r="B46" s="280" t="s">
        <v>899</v>
      </c>
      <c r="C46" s="274">
        <f t="shared" ref="C46:C56" si="7">SUM(D46:M46)</f>
        <v>570725.29</v>
      </c>
      <c r="D46" s="350">
        <v>58825.760000000002</v>
      </c>
      <c r="E46" s="351">
        <v>119362.79999999999</v>
      </c>
      <c r="F46" s="271">
        <v>12385</v>
      </c>
      <c r="G46" s="318">
        <v>11806</v>
      </c>
      <c r="H46" s="318">
        <v>286163.73</v>
      </c>
      <c r="I46" s="352">
        <v>26805</v>
      </c>
      <c r="J46" s="353">
        <v>8936</v>
      </c>
      <c r="K46" s="353">
        <v>19361</v>
      </c>
      <c r="L46" s="354"/>
      <c r="M46" s="271">
        <v>27080</v>
      </c>
      <c r="N46" s="261"/>
      <c r="P46" s="114"/>
    </row>
    <row r="47" spans="1:18" s="2" customFormat="1" ht="21" x14ac:dyDescent="0.35">
      <c r="A47" s="371"/>
      <c r="B47" s="280" t="s">
        <v>900</v>
      </c>
      <c r="C47" s="274">
        <f t="shared" si="7"/>
        <v>820308.99</v>
      </c>
      <c r="D47" s="350">
        <v>283269.09999999998</v>
      </c>
      <c r="E47" s="355">
        <v>421792.2</v>
      </c>
      <c r="F47" s="271">
        <v>32242.95</v>
      </c>
      <c r="G47" s="317">
        <v>10199.5</v>
      </c>
      <c r="H47" s="356"/>
      <c r="I47" s="357">
        <v>25510</v>
      </c>
      <c r="J47" s="358">
        <v>4170.5</v>
      </c>
      <c r="K47" s="359">
        <v>19562</v>
      </c>
      <c r="L47" s="359"/>
      <c r="M47" s="271">
        <v>23562.74</v>
      </c>
      <c r="N47" s="261"/>
      <c r="O47" s="254"/>
      <c r="P47" s="114"/>
    </row>
    <row r="48" spans="1:18" s="118" customFormat="1" ht="21" x14ac:dyDescent="0.35">
      <c r="A48" s="371"/>
      <c r="B48" s="281" t="s">
        <v>901</v>
      </c>
      <c r="C48" s="273">
        <f t="shared" si="7"/>
        <v>0</v>
      </c>
      <c r="D48" s="277"/>
      <c r="E48" s="285"/>
      <c r="F48" s="289"/>
      <c r="G48" s="296"/>
      <c r="H48" s="293"/>
      <c r="I48" s="285"/>
      <c r="J48" s="295"/>
      <c r="K48" s="297"/>
      <c r="L48" s="297"/>
      <c r="M48" s="289"/>
      <c r="N48" s="261"/>
      <c r="O48" s="209"/>
      <c r="P48" s="308"/>
    </row>
    <row r="49" spans="1:17" s="2" customFormat="1" ht="21" x14ac:dyDescent="0.35">
      <c r="A49" s="371"/>
      <c r="B49" s="280" t="s">
        <v>902</v>
      </c>
      <c r="C49" s="271">
        <f t="shared" si="7"/>
        <v>0</v>
      </c>
      <c r="D49" s="290"/>
      <c r="E49" s="285"/>
      <c r="F49" s="286"/>
      <c r="G49" s="296"/>
      <c r="H49" s="298"/>
      <c r="I49" s="294"/>
      <c r="J49" s="295"/>
      <c r="K49" s="299"/>
      <c r="L49" s="292"/>
      <c r="M49" s="286"/>
      <c r="N49" s="261"/>
      <c r="O49" s="112"/>
      <c r="P49" s="112"/>
    </row>
    <row r="50" spans="1:17" s="2" customFormat="1" ht="16.5" x14ac:dyDescent="0.3">
      <c r="A50" s="371"/>
      <c r="B50" s="280" t="s">
        <v>903</v>
      </c>
      <c r="C50" s="230">
        <f t="shared" si="7"/>
        <v>0</v>
      </c>
      <c r="D50" s="114"/>
      <c r="E50" s="300"/>
      <c r="F50" s="230"/>
      <c r="G50" s="300"/>
      <c r="H50" s="242"/>
      <c r="I50" s="236"/>
      <c r="J50" s="301"/>
      <c r="K50" s="302"/>
      <c r="L50" s="302"/>
      <c r="M50" s="230"/>
      <c r="N50" s="112"/>
      <c r="O50" s="112"/>
      <c r="Q50" s="114"/>
    </row>
    <row r="51" spans="1:17" s="2" customFormat="1" ht="16.5" x14ac:dyDescent="0.3">
      <c r="A51" s="371"/>
      <c r="B51" s="280" t="s">
        <v>904</v>
      </c>
      <c r="C51" s="230">
        <f t="shared" si="7"/>
        <v>0</v>
      </c>
      <c r="D51" s="303"/>
      <c r="E51" s="304"/>
      <c r="F51" s="230"/>
      <c r="G51" s="300"/>
      <c r="H51" s="300"/>
      <c r="I51" s="236"/>
      <c r="J51" s="242"/>
      <c r="K51" s="236"/>
      <c r="L51" s="236"/>
      <c r="M51" s="230"/>
      <c r="N51" s="112"/>
      <c r="P51" s="114"/>
    </row>
    <row r="52" spans="1:17" s="2" customFormat="1" ht="16.5" x14ac:dyDescent="0.3">
      <c r="A52" s="371"/>
      <c r="B52" s="280" t="s">
        <v>905</v>
      </c>
      <c r="C52" s="219">
        <f t="shared" si="7"/>
        <v>0</v>
      </c>
      <c r="D52" s="305"/>
      <c r="F52" s="230"/>
      <c r="G52" s="300"/>
      <c r="H52" s="243"/>
      <c r="I52" s="300"/>
      <c r="J52" s="301"/>
      <c r="K52" s="301"/>
      <c r="L52" s="301"/>
      <c r="M52" s="230"/>
      <c r="N52" s="112"/>
      <c r="O52" s="112"/>
    </row>
    <row r="53" spans="1:17" s="2" customFormat="1" ht="16.5" x14ac:dyDescent="0.3">
      <c r="A53" s="371"/>
      <c r="B53" s="280" t="s">
        <v>906</v>
      </c>
      <c r="C53" s="231">
        <f t="shared" si="7"/>
        <v>0</v>
      </c>
      <c r="D53" s="253"/>
      <c r="E53" s="220"/>
      <c r="F53" s="231"/>
      <c r="G53" s="220"/>
      <c r="H53" s="244"/>
      <c r="I53" s="220"/>
      <c r="J53" s="229"/>
      <c r="K53" s="245"/>
      <c r="L53" s="245"/>
      <c r="M53" s="231"/>
      <c r="N53" s="112"/>
      <c r="O53" s="114"/>
      <c r="P53" s="112"/>
    </row>
    <row r="54" spans="1:17" s="2" customFormat="1" ht="23.25" customHeight="1" x14ac:dyDescent="0.25">
      <c r="A54" s="371"/>
      <c r="B54" s="280" t="s">
        <v>907</v>
      </c>
      <c r="C54" s="233">
        <f t="shared" si="7"/>
        <v>0</v>
      </c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112"/>
      <c r="O54" s="114"/>
      <c r="P54" s="114"/>
    </row>
    <row r="55" spans="1:17" s="2" customFormat="1" ht="24" customHeight="1" x14ac:dyDescent="0.3">
      <c r="A55" s="371"/>
      <c r="B55" s="280" t="s">
        <v>908</v>
      </c>
      <c r="C55" s="233">
        <f t="shared" si="7"/>
        <v>0</v>
      </c>
      <c r="D55" s="232"/>
      <c r="E55" s="233"/>
      <c r="F55" s="233"/>
      <c r="G55" s="233"/>
      <c r="H55" s="233"/>
      <c r="I55" s="233"/>
      <c r="J55" s="234"/>
      <c r="K55" s="166"/>
      <c r="L55" s="166"/>
      <c r="M55" s="233"/>
      <c r="O55" s="114"/>
      <c r="P55" s="114"/>
    </row>
    <row r="56" spans="1:17" s="2" customFormat="1" ht="21" x14ac:dyDescent="0.35">
      <c r="A56" s="372"/>
      <c r="B56" s="262" t="s">
        <v>896</v>
      </c>
      <c r="C56" s="282">
        <f t="shared" si="7"/>
        <v>2140326.4299999997</v>
      </c>
      <c r="D56" s="283">
        <f>SUM(D44:D55)</f>
        <v>520298.49</v>
      </c>
      <c r="E56" s="283">
        <f>SUM(E44:E55)</f>
        <v>722540.96</v>
      </c>
      <c r="F56" s="283">
        <f>SUM(F44:F55)</f>
        <v>75593.7</v>
      </c>
      <c r="G56" s="283">
        <f t="shared" ref="G56:H56" si="8">SUM(G44:G55)</f>
        <v>38220.5</v>
      </c>
      <c r="H56" s="283">
        <f t="shared" si="8"/>
        <v>286163.73</v>
      </c>
      <c r="I56" s="283">
        <f>SUM(I44:I55)</f>
        <v>96140</v>
      </c>
      <c r="J56" s="283">
        <f t="shared" ref="J56:L56" si="9">SUM(J44:J55)</f>
        <v>29467.5</v>
      </c>
      <c r="K56" s="283">
        <f t="shared" si="9"/>
        <v>106484</v>
      </c>
      <c r="L56" s="283">
        <f t="shared" si="9"/>
        <v>46382.31</v>
      </c>
      <c r="M56" s="283">
        <f>SUM(M44:M55)</f>
        <v>219035.24</v>
      </c>
      <c r="N56" s="263">
        <v>1</v>
      </c>
      <c r="O56" s="114"/>
      <c r="P56" s="114"/>
    </row>
    <row r="57" spans="1:17" s="2" customFormat="1" x14ac:dyDescent="0.25">
      <c r="D57" s="3"/>
      <c r="E57" s="3"/>
      <c r="F57" s="3"/>
      <c r="P57" s="114"/>
    </row>
    <row r="58" spans="1:17" s="2" customFormat="1" x14ac:dyDescent="0.25">
      <c r="D58" s="3"/>
      <c r="E58" s="3"/>
      <c r="F58" s="3"/>
      <c r="O58" s="112"/>
    </row>
    <row r="59" spans="1:17" s="2" customFormat="1" x14ac:dyDescent="0.25">
      <c r="C59" s="112"/>
      <c r="D59" s="3"/>
      <c r="E59" s="3"/>
      <c r="F59" s="3"/>
    </row>
    <row r="60" spans="1:17" s="2" customFormat="1" x14ac:dyDescent="0.25">
      <c r="D60" s="3"/>
      <c r="E60" s="3"/>
      <c r="F60" s="3"/>
      <c r="O60" s="112"/>
      <c r="P60" s="114"/>
    </row>
    <row r="61" spans="1:17" s="2" customFormat="1" x14ac:dyDescent="0.25">
      <c r="D61" s="3"/>
      <c r="E61" s="3"/>
      <c r="F61" s="3"/>
      <c r="P61" s="114"/>
    </row>
    <row r="62" spans="1:17" s="2" customFormat="1" x14ac:dyDescent="0.25">
      <c r="D62" s="3"/>
      <c r="E62" s="3"/>
      <c r="F62" s="3"/>
      <c r="O62" s="112"/>
    </row>
    <row r="63" spans="1:17" s="2" customFormat="1" x14ac:dyDescent="0.25">
      <c r="D63" s="3"/>
      <c r="E63" s="3"/>
      <c r="F63" s="3"/>
      <c r="M63" s="112">
        <f>+D56+E56+F56+G56+I56+J56+K56+L56+M56</f>
        <v>1854162.7</v>
      </c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4">
    <mergeCell ref="A5:A17"/>
    <mergeCell ref="A18:A30"/>
    <mergeCell ref="A31:A43"/>
    <mergeCell ref="A44:A56"/>
  </mergeCells>
  <pageMargins left="0.25" right="0.25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2026-05-25T11:43:23Z</dcterms:modified>
</cp:coreProperties>
</file>