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jrije.haxhijaj\AppData\Local\Microsoft\Windows\INetCache\Content.Outlook\QFMMAAVV\"/>
    </mc:Choice>
  </mc:AlternateContent>
  <xr:revisionPtr revIDLastSave="0" documentId="13_ncr:1_{DAC1D4C9-4339-4ECF-8AA9-18CF6CCBD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a &amp;Me" sheetId="44" r:id="rId1"/>
    <sheet name="M&amp;Sh" sheetId="7" r:id="rId2"/>
    <sheet name="Komunale" sheetId="8" r:id="rId3"/>
    <sheet name="Subvencione" sheetId="9" r:id="rId4"/>
    <sheet name="KAPITALET" sheetId="46" r:id="rId5"/>
    <sheet name="TOTALI 2027-2029" sheetId="45" r:id="rId6"/>
  </sheets>
  <definedNames>
    <definedName name="_xlnm._FilterDatabase" localSheetId="1" hidden="1">'M&amp;Sh'!$B$5:$D$231</definedName>
  </definedNames>
  <calcPr calcId="181029"/>
</workbook>
</file>

<file path=xl/calcChain.xml><?xml version="1.0" encoding="utf-8"?>
<calcChain xmlns="http://schemas.openxmlformats.org/spreadsheetml/2006/main">
  <c r="D171" i="7" l="1"/>
  <c r="E171" i="7"/>
  <c r="C171" i="7"/>
  <c r="D147" i="7"/>
  <c r="E147" i="7"/>
  <c r="C147" i="7"/>
  <c r="D142" i="7"/>
  <c r="E142" i="7"/>
  <c r="C142" i="7"/>
  <c r="D202" i="7"/>
  <c r="E202" i="7"/>
  <c r="C202" i="7"/>
  <c r="D205" i="7"/>
  <c r="E205" i="7"/>
  <c r="C205" i="7"/>
  <c r="E96" i="46"/>
  <c r="F96" i="46"/>
  <c r="D96" i="46"/>
  <c r="E82" i="46"/>
  <c r="F82" i="46"/>
  <c r="D82" i="46"/>
  <c r="E74" i="46"/>
  <c r="F74" i="46"/>
  <c r="D74" i="46"/>
  <c r="E70" i="46"/>
  <c r="F70" i="46"/>
  <c r="D70" i="46"/>
  <c r="E65" i="46"/>
  <c r="F65" i="46"/>
  <c r="D65" i="46"/>
  <c r="E59" i="46"/>
  <c r="F59" i="46"/>
  <c r="D59" i="46"/>
  <c r="E57" i="46"/>
  <c r="F57" i="46"/>
  <c r="D57" i="46"/>
  <c r="E55" i="46"/>
  <c r="F55" i="46"/>
  <c r="D55" i="46"/>
  <c r="E7" i="46"/>
  <c r="F7" i="46"/>
  <c r="E3" i="46"/>
  <c r="F3" i="46"/>
  <c r="E9" i="46"/>
  <c r="F9" i="46"/>
  <c r="D9" i="46"/>
  <c r="D7" i="46"/>
  <c r="D3" i="46"/>
  <c r="E12" i="44"/>
  <c r="E30" i="44"/>
  <c r="D30" i="44"/>
  <c r="D29" i="44"/>
  <c r="E11" i="46" l="1"/>
  <c r="D37" i="46"/>
  <c r="C65" i="7" l="1"/>
  <c r="D11" i="46"/>
  <c r="D4" i="46" l="1"/>
  <c r="E10" i="7" l="1"/>
  <c r="D10" i="7"/>
  <c r="C10" i="7"/>
  <c r="D33" i="9" l="1"/>
  <c r="C33" i="9"/>
  <c r="B33" i="9"/>
  <c r="E38" i="45" l="1"/>
  <c r="D38" i="45"/>
  <c r="C38" i="45"/>
  <c r="B38" i="45"/>
  <c r="E26" i="45"/>
  <c r="D26" i="45"/>
  <c r="C26" i="45"/>
  <c r="B26" i="45"/>
  <c r="D56" i="9"/>
  <c r="C56" i="9"/>
  <c r="B56" i="9"/>
  <c r="E23" i="7" l="1"/>
  <c r="D23" i="7"/>
  <c r="C23" i="7"/>
  <c r="E77" i="7"/>
  <c r="D77" i="7"/>
  <c r="C77" i="7"/>
  <c r="C84" i="7" s="1"/>
  <c r="E80" i="46"/>
  <c r="E5" i="46"/>
  <c r="D85" i="46"/>
  <c r="E19" i="46"/>
  <c r="D19" i="46"/>
  <c r="E18" i="46"/>
  <c r="D18" i="46"/>
  <c r="D5" i="46"/>
  <c r="C10" i="9" l="1"/>
  <c r="D10" i="9"/>
  <c r="B10" i="9"/>
  <c r="B6" i="9"/>
  <c r="B12" i="9" l="1"/>
  <c r="E22" i="44"/>
  <c r="F22" i="44" s="1"/>
  <c r="E29" i="44"/>
  <c r="F29" i="44" s="1"/>
  <c r="F99" i="46"/>
  <c r="E61" i="46"/>
  <c r="E30" i="46"/>
  <c r="E26" i="46"/>
  <c r="D26" i="46"/>
  <c r="D22" i="46"/>
  <c r="E20" i="46"/>
  <c r="D20" i="46"/>
  <c r="E17" i="46"/>
  <c r="D99" i="46" l="1"/>
  <c r="E99" i="46"/>
  <c r="E5" i="44" l="1"/>
  <c r="F5" i="44" s="1"/>
  <c r="D136" i="7" l="1"/>
  <c r="E136" i="7"/>
  <c r="C136" i="7"/>
  <c r="D13" i="44"/>
  <c r="E14" i="44" l="1"/>
  <c r="F14" i="44" s="1"/>
  <c r="E28" i="44"/>
  <c r="F28" i="44" s="1"/>
  <c r="E7" i="44"/>
  <c r="F7" i="44" s="1"/>
  <c r="E11" i="44"/>
  <c r="F11" i="44" s="1"/>
  <c r="E21" i="44"/>
  <c r="F21" i="44" s="1"/>
  <c r="E23" i="44"/>
  <c r="F23" i="44" s="1"/>
  <c r="E24" i="44"/>
  <c r="F24" i="44" s="1"/>
  <c r="E25" i="44"/>
  <c r="F25" i="44" s="1"/>
  <c r="E26" i="44"/>
  <c r="F26" i="44" s="1"/>
  <c r="E27" i="44"/>
  <c r="F27" i="44" s="1"/>
  <c r="F30" i="44"/>
  <c r="E13" i="44"/>
  <c r="F13" i="44" s="1"/>
  <c r="E15" i="44"/>
  <c r="F15" i="44" s="1"/>
  <c r="E16" i="44"/>
  <c r="F16" i="44" s="1"/>
  <c r="E17" i="44"/>
  <c r="F17" i="44" s="1"/>
  <c r="E18" i="44"/>
  <c r="F18" i="44" s="1"/>
  <c r="E19" i="44"/>
  <c r="F19" i="44" s="1"/>
  <c r="E20" i="44"/>
  <c r="F20" i="44" s="1"/>
  <c r="F12" i="44"/>
  <c r="E10" i="44"/>
  <c r="F10" i="44" s="1"/>
  <c r="E8" i="44"/>
  <c r="F8" i="44" s="1"/>
  <c r="E9" i="44"/>
  <c r="F9" i="44" s="1"/>
  <c r="E6" i="44"/>
  <c r="F6" i="44" s="1"/>
  <c r="D228" i="7" l="1"/>
  <c r="E228" i="7"/>
  <c r="C17" i="9"/>
  <c r="D17" i="9"/>
  <c r="C6" i="9"/>
  <c r="C12" i="9" s="1"/>
  <c r="D6" i="9"/>
  <c r="D12" i="9" s="1"/>
  <c r="D46" i="9"/>
  <c r="D39" i="9"/>
  <c r="D22" i="9"/>
  <c r="E176" i="7"/>
  <c r="E219" i="7"/>
  <c r="E209" i="7"/>
  <c r="E185" i="7"/>
  <c r="E166" i="7"/>
  <c r="E160" i="7"/>
  <c r="E132" i="7"/>
  <c r="E126" i="7"/>
  <c r="E119" i="7"/>
  <c r="E113" i="7"/>
  <c r="E107" i="7"/>
  <c r="E99" i="7"/>
  <c r="E93" i="7"/>
  <c r="E84" i="7"/>
  <c r="E73" i="7"/>
  <c r="E67" i="7"/>
  <c r="E58" i="7"/>
  <c r="E50" i="7"/>
  <c r="E41" i="7"/>
  <c r="E35" i="7"/>
  <c r="E18" i="7"/>
  <c r="D46" i="8"/>
  <c r="C46" i="8"/>
  <c r="D43" i="8"/>
  <c r="C43" i="8"/>
  <c r="B43" i="8"/>
  <c r="D19" i="8"/>
  <c r="C19" i="8"/>
  <c r="B19" i="8"/>
  <c r="D10" i="8"/>
  <c r="C10" i="8"/>
  <c r="B10" i="8"/>
  <c r="D57" i="9" l="1"/>
  <c r="D60" i="9" s="1"/>
  <c r="F32" i="44"/>
  <c r="F35" i="44" s="1"/>
  <c r="E198" i="7"/>
  <c r="E152" i="7"/>
  <c r="E230" i="7" s="1"/>
  <c r="D71" i="8"/>
  <c r="D62" i="8"/>
  <c r="D60" i="8"/>
  <c r="D63" i="8" s="1"/>
  <c r="D55" i="8"/>
  <c r="D47" i="8"/>
  <c r="D39" i="8"/>
  <c r="D31" i="8"/>
  <c r="D23" i="8"/>
  <c r="D15" i="8"/>
  <c r="D73" i="8" l="1"/>
  <c r="D76" i="8" s="1"/>
  <c r="E233" i="7" l="1"/>
  <c r="C32" i="44"/>
  <c r="D32" i="44"/>
  <c r="D35" i="44" s="1"/>
  <c r="E32" i="44"/>
  <c r="E35" i="44" s="1"/>
  <c r="B17" i="9" l="1"/>
  <c r="C46" i="9" l="1"/>
  <c r="C39" i="9"/>
  <c r="C22" i="9"/>
  <c r="C57" i="9" l="1"/>
  <c r="C60" i="9" s="1"/>
  <c r="C15" i="8" l="1"/>
  <c r="B15" i="8"/>
  <c r="B60" i="8"/>
  <c r="C60" i="8"/>
  <c r="B62" i="8"/>
  <c r="C62" i="8"/>
  <c r="B46" i="8"/>
  <c r="B47" i="8" s="1"/>
  <c r="C47" i="8"/>
  <c r="B71" i="8"/>
  <c r="C71" i="8"/>
  <c r="B55" i="8"/>
  <c r="C55" i="8"/>
  <c r="B39" i="8"/>
  <c r="C39" i="8"/>
  <c r="B31" i="8"/>
  <c r="C31" i="8"/>
  <c r="B23" i="8"/>
  <c r="C23" i="8"/>
  <c r="B63" i="8" l="1"/>
  <c r="C63" i="8"/>
  <c r="B73" i="8"/>
  <c r="B76" i="8" s="1"/>
  <c r="C73" i="8"/>
  <c r="C76" i="8" s="1"/>
  <c r="D219" i="7" l="1"/>
  <c r="D209" i="7"/>
  <c r="D198" i="7"/>
  <c r="D185" i="7"/>
  <c r="D176" i="7"/>
  <c r="D166" i="7"/>
  <c r="D160" i="7"/>
  <c r="D152" i="7"/>
  <c r="D132" i="7"/>
  <c r="D126" i="7"/>
  <c r="D119" i="7"/>
  <c r="D113" i="7"/>
  <c r="D107" i="7"/>
  <c r="D99" i="7"/>
  <c r="D93" i="7"/>
  <c r="D84" i="7"/>
  <c r="D73" i="7"/>
  <c r="D67" i="7"/>
  <c r="D58" i="7"/>
  <c r="D50" i="7"/>
  <c r="D41" i="7"/>
  <c r="D35" i="7"/>
  <c r="D18" i="7"/>
  <c r="D230" i="7" l="1"/>
  <c r="D233" i="7" s="1"/>
  <c r="B46" i="9"/>
  <c r="B39" i="9" l="1"/>
  <c r="B22" i="9"/>
  <c r="C228" i="7"/>
  <c r="C219" i="7"/>
  <c r="C209" i="7"/>
  <c r="C198" i="7"/>
  <c r="C185" i="7"/>
  <c r="C176" i="7"/>
  <c r="C166" i="7"/>
  <c r="C160" i="7"/>
  <c r="C152" i="7"/>
  <c r="C132" i="7"/>
  <c r="C126" i="7"/>
  <c r="C119" i="7"/>
  <c r="C113" i="7"/>
  <c r="C107" i="7"/>
  <c r="C99" i="7"/>
  <c r="C93" i="7"/>
  <c r="C73" i="7"/>
  <c r="C67" i="7"/>
  <c r="C58" i="7"/>
  <c r="C50" i="7"/>
  <c r="C41" i="7"/>
  <c r="C35" i="7"/>
  <c r="C18" i="7"/>
  <c r="C230" i="7" l="1"/>
  <c r="C233" i="7" s="1"/>
  <c r="B57" i="9"/>
  <c r="B60" i="9" s="1"/>
</calcChain>
</file>

<file path=xl/sharedStrings.xml><?xml version="1.0" encoding="utf-8"?>
<sst xmlns="http://schemas.openxmlformats.org/spreadsheetml/2006/main" count="482" uniqueCount="284">
  <si>
    <t>Emri</t>
  </si>
  <si>
    <t>Zyra e Kryetarit</t>
  </si>
  <si>
    <t>Buxhet dhe Financa</t>
  </si>
  <si>
    <t>Zhvillim Ekonomik</t>
  </si>
  <si>
    <t>Kodet</t>
  </si>
  <si>
    <t>Shpenzimet e udhëtimit jashtë vendit</t>
  </si>
  <si>
    <t>Shpenzimet tjera telefonike - Vala 900, Ipko</t>
  </si>
  <si>
    <t>Shërbimet tjera kontraktuese</t>
  </si>
  <si>
    <t>Furnizime për zyre</t>
  </si>
  <si>
    <t>Drekat zyrtare</t>
  </si>
  <si>
    <t>Total</t>
  </si>
  <si>
    <t>Asambleja Komunale</t>
  </si>
  <si>
    <t>Administrata dhe Personeli</t>
  </si>
  <si>
    <t>Internet</t>
  </si>
  <si>
    <t>Shpenzime postare</t>
  </si>
  <si>
    <t>Naftë për ngrohje qendrore</t>
  </si>
  <si>
    <t>Karburant për vetura</t>
  </si>
  <si>
    <t>Regjistrimi dhe sigurimi I automjeteve</t>
  </si>
  <si>
    <t>Mirëmbajtja dhe riparimi i automjeteve.</t>
  </si>
  <si>
    <t>Mirëmbajtja e ndërtesave</t>
  </si>
  <si>
    <t>Integrime dhe Diaspore</t>
  </si>
  <si>
    <t>Çeshtjet Gjinore</t>
  </si>
  <si>
    <t>Inspeksioni</t>
  </si>
  <si>
    <t>Bllombat</t>
  </si>
  <si>
    <t>Prokurimi</t>
  </si>
  <si>
    <t>Shpenzimet për anëtarësim</t>
  </si>
  <si>
    <t>ZLK</t>
  </si>
  <si>
    <t>Sherbime Publike</t>
  </si>
  <si>
    <t>Emergjence</t>
  </si>
  <si>
    <t>Bujqesi</t>
  </si>
  <si>
    <t>Gjeodezi dhe Kadaster</t>
  </si>
  <si>
    <t xml:space="preserve">Sherbimet LIGJORE </t>
  </si>
  <si>
    <t>Planifikimi Urban dhe Mjedisi</t>
  </si>
  <si>
    <t>Administrata e Shendetesise</t>
  </si>
  <si>
    <t>Kujdesi Primar</t>
  </si>
  <si>
    <t>Furnizime mjeksore (organizatat shëndetsore,QMF)</t>
  </si>
  <si>
    <t>Furnizim me veshmbathje</t>
  </si>
  <si>
    <t>Sherbimet Sociale</t>
  </si>
  <si>
    <t>Kulture</t>
  </si>
  <si>
    <t>Administrata e ARSIMIT</t>
  </si>
  <si>
    <t>Arsimi PARAFILLOR DHE QERDHET</t>
  </si>
  <si>
    <t>Furnizim me ushqim dhe pije - qerdhe</t>
  </si>
  <si>
    <t>Arsimi FILLOR</t>
  </si>
  <si>
    <t>Furnizim me ushqim dhe pije</t>
  </si>
  <si>
    <t>Arsimi Mesem</t>
  </si>
  <si>
    <t>Furnizim pastrimi</t>
  </si>
  <si>
    <t>Mirëmbajtja e paisjeve</t>
  </si>
  <si>
    <t>Sherbime postare</t>
  </si>
  <si>
    <t>Gaz natyror</t>
  </si>
  <si>
    <t>Mirembajtja e ndertesave shendetsore</t>
  </si>
  <si>
    <t>Dru/pelet</t>
  </si>
  <si>
    <t>Ndihme Financiare per zgjidhjen e  problemeve te banimit per rastet sociale</t>
  </si>
  <si>
    <t>Subvencion per Shoqata dhe raste te tjera</t>
  </si>
  <si>
    <t>Drejtoria e Shendetesise</t>
  </si>
  <si>
    <t>Kulturë, Rini dhe Sport</t>
  </si>
  <si>
    <t>Energji Elektrike</t>
  </si>
  <si>
    <t>Furnizim me Ujë</t>
  </si>
  <si>
    <t>Mbledhje e Mbeturinave</t>
  </si>
  <si>
    <t>Telefoni Fikse dhe Shpenzime POSTARE</t>
  </si>
  <si>
    <t>Punë Publike</t>
  </si>
  <si>
    <t>Ndriçim Publik</t>
  </si>
  <si>
    <t>Shëndetësi Primare</t>
  </si>
  <si>
    <t>Administrata e Arsimit</t>
  </si>
  <si>
    <t>Emergjencat</t>
  </si>
  <si>
    <t xml:space="preserve">Bursa per studentë </t>
  </si>
  <si>
    <t>Subvencione sipas kerkesave</t>
  </si>
  <si>
    <t>Drejtoria e Bujqesise</t>
  </si>
  <si>
    <t xml:space="preserve">Drejtoria per mireqenie dhe pune sociale </t>
  </si>
  <si>
    <t>Shpenzimet e udhetimit zyrtar</t>
  </si>
  <si>
    <t>Subvencione per ceshtje gjinore</t>
  </si>
  <si>
    <t>Shërbimet tjera kontraktuese -Hartimi I Projekteve</t>
  </si>
  <si>
    <t>Shpenzimet e udhetimit jashte vendit</t>
  </si>
  <si>
    <t>Nafte per vetura (transportin e nxaneseve)</t>
  </si>
  <si>
    <t xml:space="preserve">Shërbimet tjera kontraktuese </t>
  </si>
  <si>
    <t>SUBVENCIONET</t>
  </si>
  <si>
    <t>SHPENZIME KOMUNALE</t>
  </si>
  <si>
    <t xml:space="preserve">MALLERA SHERBIME </t>
  </si>
  <si>
    <t>Shenjat e komunikacionit</t>
  </si>
  <si>
    <t>Vaj/Antifriz</t>
  </si>
  <si>
    <t xml:space="preserve">Sherbime shtypi jo marketing </t>
  </si>
  <si>
    <t>Shpenzimet e udhetimit (nxeneseve)</t>
  </si>
  <si>
    <t>Subvencionim me bashkefinancim</t>
  </si>
  <si>
    <t>Zhvillimi ekonomik</t>
  </si>
  <si>
    <t>Financimi I panaireve me qellim te zhvillimit ekonomik</t>
  </si>
  <si>
    <t>Perkrahje me Subvencione per klubet sportive Ojq kulturore dhe Ojq rinore</t>
  </si>
  <si>
    <t>Subvencionim i Festivalit te Letersise dhe panairit te Librit</t>
  </si>
  <si>
    <t>Promovimi I programit artistik per Galerine  e Arteve</t>
  </si>
  <si>
    <t>Shenimi I diteve festive ne Peje (17 Shkurt, 1 dhe16 Qershor,21 Shtator,28 Nentori 
dhe festat e fundvitit.</t>
  </si>
  <si>
    <t>Promovim I programit artistik ne qendren rinore Peja</t>
  </si>
  <si>
    <t xml:space="preserve">Subvencionim per Ojq-te qe ofrojne sherbime me karakter social </t>
  </si>
  <si>
    <t>SHERBIMET REZIDENCI</t>
  </si>
  <si>
    <t xml:space="preserve">TEATRI </t>
  </si>
  <si>
    <t xml:space="preserve">SHERBIMET REZIDENCIALE </t>
  </si>
  <si>
    <t xml:space="preserve">Perkrahje per trupen teatrale-teatri </t>
  </si>
  <si>
    <t>Shërbimet sociale</t>
  </si>
  <si>
    <t xml:space="preserve">Çeshtje Gjinore </t>
  </si>
  <si>
    <t>Shërbimet kulturore</t>
  </si>
  <si>
    <t>Financimi  me participim per bizneset</t>
  </si>
  <si>
    <t>Mallra dhe shërbime</t>
  </si>
  <si>
    <t>TOTALI</t>
  </si>
  <si>
    <t xml:space="preserve">Subvencion per familje strehuese </t>
  </si>
  <si>
    <t xml:space="preserve">Inventar </t>
  </si>
  <si>
    <t xml:space="preserve">Sherbime teknike </t>
  </si>
  <si>
    <t xml:space="preserve">Dreka zyrtare </t>
  </si>
  <si>
    <t xml:space="preserve">Kodi </t>
  </si>
  <si>
    <t>Emërtimi i kodit</t>
  </si>
  <si>
    <t>i programit</t>
  </si>
  <si>
    <t>Asambleja komunale</t>
  </si>
  <si>
    <t>Buxhet e financa</t>
  </si>
  <si>
    <t>Zyra komunale për komunitete dhe kthim</t>
  </si>
  <si>
    <t>Bujqësi , pylltari , zhvillim rural</t>
  </si>
  <si>
    <t>Zhvillim ekonomik</t>
  </si>
  <si>
    <t>Planifikimi urban dhe mjedisi</t>
  </si>
  <si>
    <t>Teatri</t>
  </si>
  <si>
    <t>Totali :</t>
  </si>
  <si>
    <t>Derivatet për automjete, gjeneratorë dhe makineri</t>
  </si>
  <si>
    <t xml:space="preserve">Paisje tjera </t>
  </si>
  <si>
    <t xml:space="preserve">Shërbimet e veçanta - konsulentë dhe kontraktorë individual </t>
  </si>
  <si>
    <t>Sigurimi fizik i objekteve publike</t>
  </si>
  <si>
    <t>Botimet e publikimeve</t>
  </si>
  <si>
    <t xml:space="preserve">Pasije tjera </t>
  </si>
  <si>
    <t xml:space="preserve">Stafi </t>
  </si>
  <si>
    <t>6</t>
  </si>
  <si>
    <t xml:space="preserve">Sherbimet rezidenciale </t>
  </si>
  <si>
    <t xml:space="preserve"> </t>
  </si>
  <si>
    <t>Ndërtimi i impiantit në Jabllanicë të Leshanit</t>
  </si>
  <si>
    <t>Ndërtimi i Gjimnazit</t>
  </si>
  <si>
    <t>Shërbimet tjera kontraktuese ( mesimi online )</t>
  </si>
  <si>
    <t>Shërbimet tjera kontraktuese ( mesimi online)</t>
  </si>
  <si>
    <t>Inventar</t>
  </si>
  <si>
    <t xml:space="preserve">Paisje per kabinete </t>
  </si>
  <si>
    <t>Planifiki I Buxhetit 2027-2029</t>
  </si>
  <si>
    <t xml:space="preserve">Sherbimet e veqanta intelektale </t>
  </si>
  <si>
    <t>Sherbime teknike -dezinfektim</t>
  </si>
  <si>
    <t xml:space="preserve">Furnizimi i  zyres </t>
  </si>
  <si>
    <t>Buxheti sipas Qarkores 2027-1</t>
  </si>
  <si>
    <t>Përshkrimi</t>
  </si>
  <si>
    <t>2026</t>
  </si>
  <si>
    <t>2027</t>
  </si>
  <si>
    <t>2028</t>
  </si>
  <si>
    <t>2029</t>
  </si>
  <si>
    <t>Grandi i Përgjithshëm</t>
  </si>
  <si>
    <t>Grandi Specifik i Arsimit</t>
  </si>
  <si>
    <t>Grandi Specifik Shëndetësisë</t>
  </si>
  <si>
    <t>Financimi i Teatrit</t>
  </si>
  <si>
    <t>Financimi nga Shërbimet Rezidenciale</t>
  </si>
  <si>
    <t>Të hyrat</t>
  </si>
  <si>
    <t>Totali</t>
  </si>
  <si>
    <t>Struktura e të Hyrave</t>
  </si>
  <si>
    <t>Të hyrat tatimi në pronë</t>
  </si>
  <si>
    <t>Të hyrat tatimi në tokë</t>
  </si>
  <si>
    <t>Të hyrat jo tatimore</t>
  </si>
  <si>
    <t>Totali i të hyrave</t>
  </si>
  <si>
    <t>Planifikimi i Buxhetit 2026-2029</t>
  </si>
  <si>
    <t>Paga dhe mëditje</t>
  </si>
  <si>
    <t>Shpenzime komunale</t>
  </si>
  <si>
    <t>Subvencione dhe transfere</t>
  </si>
  <si>
    <t>Shpenzime kapitale</t>
  </si>
  <si>
    <t>Buxheti sipas Qarkores 2027-2</t>
  </si>
  <si>
    <t>Nr.</t>
  </si>
  <si>
    <t>Kodi</t>
  </si>
  <si>
    <t>EMËRTIMI I PROJEKTIT</t>
  </si>
  <si>
    <t>16319 – ADMINISTRATA - PEJË</t>
  </si>
  <si>
    <t>Ndërtimi i objektit të Administratës në hapësirat e ish-Urbanizmit (Arsim, Urbanizëm, Shërbime Publike, Kulturë)</t>
  </si>
  <si>
    <t xml:space="preserve">        17519 - BUXHETI - PEJË</t>
  </si>
  <si>
    <t>Participim me Ministrinë e linjës dhe donatorë</t>
  </si>
  <si>
    <t>18019 SHËRBIME PUBLIKE - INFRASTRUKTURA RRUGORE - PEJË</t>
  </si>
  <si>
    <t>Ndërtimi i rrugës Lipë e Vogël</t>
  </si>
  <si>
    <t>Ndërtimi i rrugës në zonën industriale në Zahaq, Sverkë dhe Lutogllav</t>
  </si>
  <si>
    <t>Ndërtimi i rrugës në Majën e Zezë</t>
  </si>
  <si>
    <t>Ndërtimi i rrugës në fshatin Dushkajë</t>
  </si>
  <si>
    <t>Ndërtimi, renovimi i rrugëve dhe trotuareve në qendër të qytetit, lagjet Puhovc, Jarinë, Xh. Kadë, Spitalit, Kristal dhe 7 Shtator</t>
  </si>
  <si>
    <t>Ndërtimi i shtigjeve dhe hapësirave të tjera ndihmëse në Parkun e Pishave</t>
  </si>
  <si>
    <t>Asfaltimi i anekseve të rrugëve në fshatrat e Rugovës (Shtupeq i Madh, Shtupeq i Vogël dhe Malaj)</t>
  </si>
  <si>
    <t xml:space="preserve">      19595 - ZYRA LOKALE E KOMUNITETEVE - PEJË</t>
  </si>
  <si>
    <t>47019 - BUJQËSI, PYLLTARI DHE ZHVILLIM RURAL - PEJË</t>
  </si>
  <si>
    <t>66100 - PLANIFIKIM HAPSINOR DHE RREGULLATIV - PEJË</t>
  </si>
  <si>
    <t>92095 - ARSIM DHE SHKENCË - PEJË</t>
  </si>
  <si>
    <t>Ndërtimi i palestrës së sportit në shkollën e Trestenikut dhe Kryshecit</t>
  </si>
  <si>
    <t>Ndërtimi i shkollës fillore në Loxhë</t>
  </si>
  <si>
    <t xml:space="preserve">Ndërtimi i shkollës Ekonomike (Hoteliere) participim. </t>
  </si>
  <si>
    <t>Planifikimi  I Buxhetit 2027-2029</t>
  </si>
  <si>
    <t>74100 - SHËNDETËSIA</t>
  </si>
  <si>
    <t xml:space="preserve">Administrata </t>
  </si>
  <si>
    <t>Çështjet gjinore</t>
  </si>
  <si>
    <t>Integrimet europiane</t>
  </si>
  <si>
    <t>Infrastruktura rrugore</t>
  </si>
  <si>
    <t>Emergjenca - zjarrëfikësat</t>
  </si>
  <si>
    <t>Shërbime kadastrale</t>
  </si>
  <si>
    <t>Çështje pronësoro - juridike</t>
  </si>
  <si>
    <t>Administrata</t>
  </si>
  <si>
    <t>Kujdesi primar shëndetsor</t>
  </si>
  <si>
    <t>Arsimi parashkollor - Çerdhet</t>
  </si>
  <si>
    <t>Arsimi fillor</t>
  </si>
  <si>
    <t>Arsimi i mesëm</t>
  </si>
  <si>
    <t>Planifiki I Buxhetit 202-2029</t>
  </si>
  <si>
    <t xml:space="preserve">Avans për Petty Cash </t>
  </si>
  <si>
    <t>Akomodimi gjatë udhëtimit zyrtar jashtë vendit</t>
  </si>
  <si>
    <t>Shërbimet e përfaqësimit dhe avokaturës</t>
  </si>
  <si>
    <t>Mbështetja për nevojat e viktimave të trajtuara nga Policia</t>
  </si>
  <si>
    <t>Për Memorialin e SAK-ut</t>
  </si>
  <si>
    <t>Blerja dhe instalimi i pompës termike për shkollat: 8 Marsi, Adresni dhe Rifat Gjota-Puntori</t>
  </si>
  <si>
    <t>Blerja dhe instalimi i pompës termike për objektin e Administratës</t>
  </si>
  <si>
    <t>Ndërtimi i rrugës Bazeni i Madh – Bellopojë</t>
  </si>
  <si>
    <t>Ndërtimi i rrugës Poçestë – Dobërdol</t>
  </si>
  <si>
    <t>Ndërtimi i rrugëve: Jarinë – Burgu – ProCredit Bank</t>
  </si>
  <si>
    <t>Ndërtimi i rrugës Zagerm – Lubeniq</t>
  </si>
  <si>
    <t>Ndërtimi i sheshit prej Urës së Zallit deri te Ura e Re (Hajdaragve)</t>
  </si>
  <si>
    <t>Rregullimi i rrugës Leshan – Kerstovc (me urë)</t>
  </si>
  <si>
    <t>Ndërtimi i rrugës Tranzit – Qyshk – Zahaq</t>
  </si>
  <si>
    <t>Ndërtimi i ndriçimit publik me panele solare në Sverkë, Lutogllavë dhe Gorazhdec</t>
  </si>
  <si>
    <t>Ndërtimi i rrugëve në fshatrat e Lugut të Baranit, Leshanit, Trestenikut dhe Radacit</t>
  </si>
  <si>
    <t>Ndërtimi i rrugës Qafë Hajle – Varri i Sykut</t>
  </si>
  <si>
    <t>Rregullimi i infrastrukturës publike në zonat industriale të Brestovikut, Sferrkës, Zahaqit, Lugut të Baranit, Lugut të Leshanit, Podgurit, Rugovës, Lipës, Qendrës Zejtare, Rrokaqiellit dhe 7</t>
  </si>
  <si>
    <t>Asfaltimi i anekseve të rrugëve në fshatrat e Rugovës (Stankaj, Bogë, Shkrel)</t>
  </si>
  <si>
    <t>Ndërtimi i rrugës së Bjeshkës së Jabllanicës së Vogël</t>
  </si>
  <si>
    <t>Asfaltimi i rrugës Sejnovë – Gjore</t>
  </si>
  <si>
    <t>Asfaltimi i anekseve të rrugëve në fshatrat e Rugovës (Kuqishtë, Kushat, Drelaj, Pepaj)</t>
  </si>
  <si>
    <t>Ndërtimi i rrethojave metalike në varreza në fsh. Leshan, Broliq, Lutogllav, Nabërgj, Qallapek, J. Madhe, Maja e Zezë, Dardania III</t>
  </si>
  <si>
    <t>Ndërtimi i rrethojave metalike në varreza në fsh. Leshan, Broliq, Lutogllav, Nabërgj, Qallapek, J. Madhe, Maja e Zezë, Dardania III                          Ndërtimi i rrethojave të varrezave nëpër fshatrat e Komunës së Pejës</t>
  </si>
  <si>
    <t>Ndërtimi i kanalizimit në lagjet Kapeshnicë, Lagjen e Gurit, Lagjen Kristal, fshatin Baran</t>
  </si>
  <si>
    <t>Ndërtimi i Sheshit Shkëlzen Haradinaj – Haxhi Zeka</t>
  </si>
  <si>
    <t>Ndërtimi i hapësirave te Drini i Bardhë</t>
  </si>
  <si>
    <t>Ndërtimi i mureve mbrojtëse në lagjet: Dardania, Kapeshnicë dhe Xhemajl Kada - Komuna e Pejës</t>
  </si>
  <si>
    <t>Ujësjellësi për fshatrat e Lugut të Baranit (kapëtazha)</t>
  </si>
  <si>
    <t>Ndërtimi i ujësjellësit në Stankaj, Bogë, Shkrel, Pepaj, Malaj, Shtupeq i Madh dhe Kuqishtë</t>
  </si>
  <si>
    <t>Rregullimi i shëtitores prej Urës së Novosellës – Mulliri i Berdynajve</t>
  </si>
  <si>
    <t>Ndërtimi i Deponisë së Mbeturinave në Sverkë</t>
  </si>
  <si>
    <t>Ndërtimi i urës për automjete “Bukuresht Mahall – Sallahanë”</t>
  </si>
  <si>
    <t>Ndërtimi i rrugës lidhëse “Hysen Rama” deri te rruga tranzit “KFOR”</t>
  </si>
  <si>
    <t>Ndërtimi i kanalizimeve në fshatra dhe lagje të qytetit (Maja e Zezë, Kristal, Qyshk dhe Vitomiricë)</t>
  </si>
  <si>
    <t>Rregullimi dhe ndërtimi i hapësirave publike në lagjet e qytetit.</t>
  </si>
  <si>
    <t>Ndërtimi i rrugës Shtupeq i Vogël – Maja e Zezë</t>
  </si>
  <si>
    <t>Ndërtimi i rrugës në zonën industriale nga rrethi i Ramunit deri te rrethi në fshatin Leshan</t>
  </si>
  <si>
    <t>Ndërtimi i rrugëve lidhëse në zonën industriale në Zahaq – Sverkë.</t>
  </si>
  <si>
    <t>Ndërtimi i rrugës Tranzit, Dardani 3, Poçestë, Kerstovc</t>
  </si>
  <si>
    <t>Ndërtimi i trafos në oborrin e Shkollës Ekonomike.</t>
  </si>
  <si>
    <t>Ndërtimi i rrugëve dhe ndriçimit në fsh. Zllopek, Gorozhdec, Brestovik dhe Vitomericë dhe lagjja 7 Shtatori.</t>
  </si>
  <si>
    <t>Ndërtimi i kanaleve të ujitjes në regjionin e Lugut të Baranit, Trestenikut, Leshanit, Podgurit dhe Fushës së Pejës.</t>
  </si>
  <si>
    <t>Ndërtimi i kanalit të hapur atmosferik ekzistues të Seravisë, Katundit të Ri, Zahaqit dhe kanalit të hapur në Gorozhdec.</t>
  </si>
  <si>
    <t>Hapja dhe pastrimi i kanalit të Seravisë në fshatrat Trepoviq, Nabërgjan, Trestenik.</t>
  </si>
  <si>
    <t>Hapja e kanalit të Behocit në fshatrat e Lugut të Baranit</t>
  </si>
  <si>
    <t>Gjelbërimi i hapësirës, Tranzit–Qyshk buzë Lumbardhit dhe Ura e Gurit-Duli.</t>
  </si>
  <si>
    <t>Blerja e pajisjeve mjekësore: aparat radiologjik, ortopan, aparat oksigjenformues dhe autoklav.</t>
  </si>
  <si>
    <t>Ndërtimi i objektit të ri të QKMF-së.</t>
  </si>
  <si>
    <t>Ndërtimi i QMF-së në Dardani.</t>
  </si>
  <si>
    <t>75591-SHËRBIMET SOCIALE DHE REZIDENCIALE- PEJË</t>
  </si>
  <si>
    <t>Shtëpia për mbrojtjen e fëmijëve</t>
  </si>
  <si>
    <t>Shtëpia e komunitetit për persona të moshuar</t>
  </si>
  <si>
    <t>Shtëpia e komunitetit për persona me aftësi të kufizuara</t>
  </si>
  <si>
    <t>Renovimi i Teatrit Profesional "Istref Begolli"</t>
  </si>
  <si>
    <t>Ndërtimi i palestrës në Zahaq</t>
  </si>
  <si>
    <t>Ndërtimi i palestrës së ish-Partizanit për sportet luftarake dhe atletike</t>
  </si>
  <si>
    <t>Renovimi i zhveshtoreve të fushave të sportit në Brestovik</t>
  </si>
  <si>
    <t>Rindërtimi dhe renovimi i shkollave dhe anekseve në Nabërgjan, Llozhan, Trestenik, Lidhja e Prizrenit, Ramiz Sadiku, Qyshk, Zahaq, Nabërgjan dhe rrethoja në Hil Mosi, Jabllanicë</t>
  </si>
  <si>
    <t>Ndërtimi i shkollës së re në fshatin Nabërgjan</t>
  </si>
  <si>
    <t>Ndërtimi i shkollës fillore në fshatin Llozhan</t>
  </si>
  <si>
    <t>Ndërtimi i çerdhes në fshatin Zahaq dhe Stacioni i trenit</t>
  </si>
  <si>
    <t>Ndërtimi i palestrave sportive në shkollën Smajl Hajdaraj</t>
  </si>
  <si>
    <t>Vazhdimi i sallës së sportit në fshatin Gllogjan</t>
  </si>
  <si>
    <t>Blerja e veturave për shërbime shëndetësore.</t>
  </si>
  <si>
    <t>Makineri bujqësore(TRAKTORA) 100 cope</t>
  </si>
  <si>
    <t>Promovimi i fermereve ne aktivitetet e tyre bujqesore</t>
  </si>
  <si>
    <t>Particimim me donatore</t>
  </si>
  <si>
    <t>Perkrahja e fermereve me peme te imta-mjeder dhe boronice</t>
  </si>
  <si>
    <t>Pajisje bujqesore (mekanizma te ndrsyhme)</t>
  </si>
  <si>
    <t>Ndërtimi i palestrës së basketbollit në Lagjen Karagaq-ish Hotel Karagaqi</t>
  </si>
  <si>
    <t>kontratat e 2026 qe vazhdon ne 2027</t>
  </si>
  <si>
    <t>kontratet e reja 2027</t>
  </si>
  <si>
    <t>Subvencione per rastet me probleme tjera shendetesore</t>
  </si>
  <si>
    <t>Renovim i Shtëepisë së Kulturës në Gorozhdec</t>
  </si>
  <si>
    <t>85019 - KULTURË, RINI, SPORT - PEJË</t>
  </si>
  <si>
    <t>Mbeshtetje te kerkesave te fermereve per raste emergjente qe ofrohen per fermeret kur perballen me situata te paparashikuara qe rrezikojne prodhimet bujqesore</t>
  </si>
  <si>
    <t>Ndërtimi i kanalit atmosferik në lagjen "Gj. Kada" dhe  fshatin Radavc</t>
  </si>
  <si>
    <t xml:space="preserve">Renovimi, Rindërtimi dhe Modernizimi i Zyrave dhe Sallës së Kuvendit </t>
  </si>
  <si>
    <t xml:space="preserve">Blerja e paisjeve për siguri në komunikacion </t>
  </si>
  <si>
    <t xml:space="preserve">Ndërtimi i shëtitores dhe rrugës  nga Ura e Re deri te Udhë e Keqe ne lagjen Kapeshnica </t>
  </si>
  <si>
    <t>Ndërtimi i hapësirës publike dhe shetitores  dhe rruges nga Ura e Zallit deri te Ura e Re në hyrje të Kapeshnicës</t>
  </si>
  <si>
    <t xml:space="preserve">Mveshja me gurë e murit te lumbardhit prej Urës së Re  deri te Ura e Kaltër  Kapeshnice </t>
  </si>
  <si>
    <t xml:space="preserve">Ndertimi i fushes se peste e tenisit ne fsh. Brestovik </t>
  </si>
  <si>
    <t>Inventari për SHFM</t>
  </si>
  <si>
    <t>Mirëmbajtja verore e rrugëve në Komunën e Pejës</t>
  </si>
  <si>
    <t>Mirëmbajtja dimerore e rrugëve në Komunën e Pejës</t>
  </si>
  <si>
    <t>Mirëmbajtja e ndriçimit 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</si>
</sst>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\ [$€-42D]"/>
    <numFmt numFmtId="165" formatCode="_-* #,##0.00\ [$€-42D]_-;\-* #,##0.00\ [$€-42D]_-;_-* &quot;-&quot;??\ [$€-42D]_-;_-@_-"/>
    <numFmt numFmtId="166" formatCode="#,##0.00\ [$€-403]"/>
    <numFmt numFmtId="167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EAD3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1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4" fillId="0" borderId="22" xfId="0" applyFont="1" applyBorder="1"/>
    <xf numFmtId="4" fontId="4" fillId="0" borderId="22" xfId="0" applyNumberFormat="1" applyFont="1" applyBorder="1"/>
    <xf numFmtId="4" fontId="5" fillId="0" borderId="7" xfId="0" applyNumberFormat="1" applyFont="1" applyBorder="1"/>
    <xf numFmtId="4" fontId="4" fillId="0" borderId="7" xfId="0" applyNumberFormat="1" applyFont="1" applyBorder="1"/>
    <xf numFmtId="0" fontId="4" fillId="0" borderId="10" xfId="0" applyFont="1" applyBorder="1"/>
    <xf numFmtId="4" fontId="4" fillId="0" borderId="10" xfId="0" applyNumberFormat="1" applyFont="1" applyBorder="1"/>
    <xf numFmtId="4" fontId="5" fillId="0" borderId="8" xfId="0" applyNumberFormat="1" applyFont="1" applyBorder="1"/>
    <xf numFmtId="4" fontId="4" fillId="0" borderId="8" xfId="0" applyNumberFormat="1" applyFont="1" applyBorder="1"/>
    <xf numFmtId="0" fontId="4" fillId="0" borderId="23" xfId="0" applyFont="1" applyBorder="1"/>
    <xf numFmtId="0" fontId="4" fillId="0" borderId="0" xfId="0" applyFont="1"/>
    <xf numFmtId="0" fontId="3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164" fontId="3" fillId="0" borderId="0" xfId="0" applyNumberFormat="1" applyFont="1"/>
    <xf numFmtId="165" fontId="4" fillId="0" borderId="1" xfId="0" applyNumberFormat="1" applyFont="1" applyBorder="1"/>
    <xf numFmtId="166" fontId="4" fillId="0" borderId="1" xfId="0" applyNumberFormat="1" applyFont="1" applyBorder="1"/>
    <xf numFmtId="166" fontId="3" fillId="0" borderId="0" xfId="0" applyNumberFormat="1" applyFont="1"/>
    <xf numFmtId="166" fontId="4" fillId="0" borderId="0" xfId="0" applyNumberFormat="1" applyFont="1"/>
    <xf numFmtId="2" fontId="0" fillId="0" borderId="0" xfId="0" applyNumberFormat="1"/>
    <xf numFmtId="0" fontId="7" fillId="0" borderId="0" xfId="0" applyFont="1" applyAlignment="1">
      <alignment wrapText="1"/>
    </xf>
    <xf numFmtId="4" fontId="7" fillId="0" borderId="30" xfId="0" applyNumberFormat="1" applyFont="1" applyBorder="1" applyAlignment="1">
      <alignment wrapText="1"/>
    </xf>
    <xf numFmtId="4" fontId="7" fillId="0" borderId="31" xfId="0" applyNumberFormat="1" applyFont="1" applyBorder="1" applyAlignment="1">
      <alignment wrapText="1"/>
    </xf>
    <xf numFmtId="4" fontId="7" fillId="0" borderId="1" xfId="0" applyNumberFormat="1" applyFont="1" applyBorder="1" applyAlignment="1">
      <alignment wrapText="1"/>
    </xf>
    <xf numFmtId="4" fontId="7" fillId="0" borderId="17" xfId="0" applyNumberFormat="1" applyFont="1" applyBorder="1" applyAlignment="1">
      <alignment wrapText="1"/>
    </xf>
    <xf numFmtId="4" fontId="7" fillId="0" borderId="11" xfId="0" applyNumberFormat="1" applyFont="1" applyBorder="1" applyAlignment="1">
      <alignment wrapText="1"/>
    </xf>
    <xf numFmtId="4" fontId="7" fillId="0" borderId="18" xfId="0" applyNumberFormat="1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7" fillId="3" borderId="29" xfId="0" applyFont="1" applyFill="1" applyBorder="1"/>
    <xf numFmtId="4" fontId="7" fillId="3" borderId="30" xfId="0" applyNumberFormat="1" applyFont="1" applyFill="1" applyBorder="1"/>
    <xf numFmtId="4" fontId="7" fillId="3" borderId="31" xfId="0" applyNumberFormat="1" applyFont="1" applyFill="1" applyBorder="1"/>
    <xf numFmtId="0" fontId="7" fillId="0" borderId="21" xfId="0" applyFont="1" applyBorder="1"/>
    <xf numFmtId="4" fontId="7" fillId="0" borderId="1" xfId="0" applyNumberFormat="1" applyFont="1" applyBorder="1"/>
    <xf numFmtId="4" fontId="7" fillId="0" borderId="17" xfId="0" applyNumberFormat="1" applyFont="1" applyBorder="1"/>
    <xf numFmtId="0" fontId="7" fillId="0" borderId="32" xfId="0" applyFont="1" applyBorder="1"/>
    <xf numFmtId="4" fontId="7" fillId="0" borderId="11" xfId="0" applyNumberFormat="1" applyFont="1" applyBorder="1"/>
    <xf numFmtId="4" fontId="7" fillId="0" borderId="18" xfId="0" applyNumberFormat="1" applyFont="1" applyBorder="1"/>
    <xf numFmtId="0" fontId="7" fillId="0" borderId="29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3" fillId="2" borderId="0" xfId="0" applyFont="1" applyFill="1" applyAlignment="1">
      <alignment horizontal="left" wrapText="1"/>
    </xf>
    <xf numFmtId="167" fontId="3" fillId="2" borderId="0" xfId="0" applyNumberFormat="1" applyFont="1" applyFill="1"/>
    <xf numFmtId="0" fontId="6" fillId="0" borderId="2" xfId="0" applyFont="1" applyBorder="1" applyAlignment="1">
      <alignment horizontal="center" vertical="center"/>
    </xf>
    <xf numFmtId="164" fontId="4" fillId="0" borderId="0" xfId="0" applyNumberFormat="1" applyFont="1"/>
    <xf numFmtId="43" fontId="1" fillId="0" borderId="0" xfId="1" applyFont="1"/>
    <xf numFmtId="0" fontId="0" fillId="0" borderId="0" xfId="0" quotePrefix="1"/>
    <xf numFmtId="0" fontId="5" fillId="0" borderId="0" xfId="0" applyFont="1"/>
    <xf numFmtId="0" fontId="3" fillId="5" borderId="16" xfId="0" applyFont="1" applyFill="1" applyBorder="1" applyAlignment="1">
      <alignment horizontal="center" vertical="center"/>
    </xf>
    <xf numFmtId="0" fontId="0" fillId="2" borderId="0" xfId="0" applyFill="1"/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/>
    <xf numFmtId="0" fontId="3" fillId="5" borderId="9" xfId="0" applyFont="1" applyFill="1" applyBorder="1" applyAlignment="1">
      <alignment horizontal="center" wrapText="1"/>
    </xf>
    <xf numFmtId="0" fontId="3" fillId="5" borderId="3" xfId="0" applyFont="1" applyFill="1" applyBorder="1"/>
    <xf numFmtId="0" fontId="3" fillId="5" borderId="9" xfId="0" applyFont="1" applyFill="1" applyBorder="1"/>
    <xf numFmtId="0" fontId="3" fillId="5" borderId="25" xfId="0" applyFont="1" applyFill="1" applyBorder="1"/>
    <xf numFmtId="0" fontId="3" fillId="5" borderId="2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6" xfId="0" applyFont="1" applyBorder="1"/>
    <xf numFmtId="0" fontId="4" fillId="0" borderId="37" xfId="0" applyFont="1" applyBorder="1"/>
    <xf numFmtId="0" fontId="4" fillId="5" borderId="26" xfId="0" applyFont="1" applyFill="1" applyBorder="1"/>
    <xf numFmtId="0" fontId="3" fillId="5" borderId="41" xfId="0" applyFont="1" applyFill="1" applyBorder="1"/>
    <xf numFmtId="0" fontId="3" fillId="5" borderId="16" xfId="0" applyFont="1" applyFill="1" applyBorder="1"/>
    <xf numFmtId="4" fontId="3" fillId="5" borderId="16" xfId="0" applyNumberFormat="1" applyFont="1" applyFill="1" applyBorder="1"/>
    <xf numFmtId="0" fontId="8" fillId="5" borderId="29" xfId="0" applyFont="1" applyFill="1" applyBorder="1"/>
    <xf numFmtId="0" fontId="8" fillId="5" borderId="30" xfId="0" applyFont="1" applyFill="1" applyBorder="1"/>
    <xf numFmtId="0" fontId="8" fillId="5" borderId="31" xfId="0" applyFont="1" applyFill="1" applyBorder="1"/>
    <xf numFmtId="43" fontId="8" fillId="5" borderId="21" xfId="1" applyFont="1" applyFill="1" applyBorder="1"/>
    <xf numFmtId="43" fontId="8" fillId="5" borderId="1" xfId="1" applyFont="1" applyFill="1" applyBorder="1"/>
    <xf numFmtId="43" fontId="8" fillId="5" borderId="17" xfId="1" applyFont="1" applyFill="1" applyBorder="1"/>
    <xf numFmtId="4" fontId="8" fillId="5" borderId="12" xfId="0" applyNumberFormat="1" applyFont="1" applyFill="1" applyBorder="1"/>
    <xf numFmtId="4" fontId="8" fillId="5" borderId="13" xfId="0" applyNumberFormat="1" applyFont="1" applyFill="1" applyBorder="1"/>
    <xf numFmtId="4" fontId="8" fillId="5" borderId="14" xfId="0" applyNumberFormat="1" applyFont="1" applyFill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5" borderId="7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4" fillId="0" borderId="21" xfId="0" applyFont="1" applyBorder="1"/>
    <xf numFmtId="164" fontId="4" fillId="0" borderId="17" xfId="0" applyNumberFormat="1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0" fontId="3" fillId="5" borderId="0" xfId="0" applyFont="1" applyFill="1"/>
    <xf numFmtId="0" fontId="4" fillId="5" borderId="38" xfId="0" applyFont="1" applyFill="1" applyBorder="1"/>
    <xf numFmtId="0" fontId="6" fillId="5" borderId="2" xfId="0" applyFont="1" applyFill="1" applyBorder="1" applyAlignment="1">
      <alignment horizontal="center" vertical="center"/>
    </xf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0" fontId="4" fillId="5" borderId="12" xfId="0" applyFont="1" applyFill="1" applyBorder="1"/>
    <xf numFmtId="0" fontId="3" fillId="0" borderId="38" xfId="0" applyFont="1" applyBorder="1"/>
    <xf numFmtId="0" fontId="3" fillId="0" borderId="12" xfId="0" applyFont="1" applyBorder="1"/>
    <xf numFmtId="164" fontId="4" fillId="0" borderId="38" xfId="0" applyNumberFormat="1" applyFont="1" applyBorder="1"/>
    <xf numFmtId="164" fontId="4" fillId="0" borderId="39" xfId="0" applyNumberFormat="1" applyFont="1" applyBorder="1"/>
    <xf numFmtId="164" fontId="4" fillId="0" borderId="40" xfId="0" applyNumberFormat="1" applyFont="1" applyBorder="1"/>
    <xf numFmtId="164" fontId="3" fillId="5" borderId="11" xfId="0" applyNumberFormat="1" applyFont="1" applyFill="1" applyBorder="1"/>
    <xf numFmtId="164" fontId="3" fillId="5" borderId="18" xfId="0" applyNumberFormat="1" applyFont="1" applyFill="1" applyBorder="1"/>
    <xf numFmtId="0" fontId="3" fillId="5" borderId="16" xfId="0" applyFont="1" applyFill="1" applyBorder="1" applyAlignment="1">
      <alignment horizontal="center"/>
    </xf>
    <xf numFmtId="164" fontId="3" fillId="5" borderId="21" xfId="0" applyNumberFormat="1" applyFont="1" applyFill="1" applyBorder="1"/>
    <xf numFmtId="164" fontId="3" fillId="5" borderId="1" xfId="0" applyNumberFormat="1" applyFont="1" applyFill="1" applyBorder="1"/>
    <xf numFmtId="164" fontId="3" fillId="5" borderId="17" xfId="0" applyNumberFormat="1" applyFont="1" applyFill="1" applyBorder="1"/>
    <xf numFmtId="0" fontId="3" fillId="5" borderId="21" xfId="0" applyFont="1" applyFill="1" applyBorder="1"/>
    <xf numFmtId="0" fontId="3" fillId="5" borderId="1" xfId="0" applyFont="1" applyFill="1" applyBorder="1"/>
    <xf numFmtId="0" fontId="3" fillId="5" borderId="17" xfId="0" applyFont="1" applyFill="1" applyBorder="1"/>
    <xf numFmtId="43" fontId="3" fillId="5" borderId="21" xfId="1" applyFont="1" applyFill="1" applyBorder="1"/>
    <xf numFmtId="43" fontId="3" fillId="5" borderId="1" xfId="1" applyFont="1" applyFill="1" applyBorder="1"/>
    <xf numFmtId="43" fontId="3" fillId="5" borderId="17" xfId="1" applyFont="1" applyFill="1" applyBorder="1"/>
    <xf numFmtId="164" fontId="3" fillId="5" borderId="12" xfId="0" applyNumberFormat="1" applyFont="1" applyFill="1" applyBorder="1"/>
    <xf numFmtId="0" fontId="4" fillId="2" borderId="21" xfId="0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7" xfId="0" applyNumberFormat="1" applyFon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164" fontId="3" fillId="5" borderId="21" xfId="0" applyNumberFormat="1" applyFont="1" applyFill="1" applyBorder="1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0" fontId="3" fillId="5" borderId="2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43" fontId="3" fillId="5" borderId="21" xfId="1" applyFont="1" applyFill="1" applyBorder="1" applyAlignment="1">
      <alignment vertical="center"/>
    </xf>
    <xf numFmtId="43" fontId="3" fillId="5" borderId="1" xfId="1" applyFont="1" applyFill="1" applyBorder="1" applyAlignment="1">
      <alignment vertical="center"/>
    </xf>
    <xf numFmtId="43" fontId="3" fillId="5" borderId="17" xfId="1" applyFont="1" applyFill="1" applyBorder="1" applyAlignment="1">
      <alignment vertical="center"/>
    </xf>
    <xf numFmtId="2" fontId="3" fillId="5" borderId="12" xfId="0" applyNumberFormat="1" applyFont="1" applyFill="1" applyBorder="1" applyAlignment="1">
      <alignment vertical="center"/>
    </xf>
    <xf numFmtId="2" fontId="3" fillId="5" borderId="13" xfId="0" applyNumberFormat="1" applyFont="1" applyFill="1" applyBorder="1" applyAlignment="1">
      <alignment vertical="center"/>
    </xf>
    <xf numFmtId="2" fontId="3" fillId="5" borderId="14" xfId="0" applyNumberFormat="1" applyFont="1" applyFill="1" applyBorder="1" applyAlignment="1">
      <alignment vertical="center"/>
    </xf>
    <xf numFmtId="0" fontId="4" fillId="0" borderId="21" xfId="0" applyFont="1" applyBorder="1" applyAlignment="1">
      <alignment horizontal="left" vertical="top"/>
    </xf>
    <xf numFmtId="0" fontId="4" fillId="2" borderId="21" xfId="0" applyFont="1" applyFill="1" applyBorder="1" applyAlignment="1">
      <alignment horizontal="left" vertical="top"/>
    </xf>
    <xf numFmtId="0" fontId="4" fillId="0" borderId="2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4" fillId="5" borderId="38" xfId="0" applyFont="1" applyFill="1" applyBorder="1" applyAlignment="1">
      <alignment horizontal="left" vertical="top"/>
    </xf>
    <xf numFmtId="0" fontId="4" fillId="5" borderId="12" xfId="0" applyFont="1" applyFill="1" applyBorder="1" applyAlignment="1">
      <alignment horizontal="left" vertical="top"/>
    </xf>
    <xf numFmtId="0" fontId="3" fillId="5" borderId="33" xfId="0" applyFont="1" applyFill="1" applyBorder="1" applyAlignment="1">
      <alignment horizontal="left" vertical="top"/>
    </xf>
    <xf numFmtId="0" fontId="3" fillId="5" borderId="39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6" fillId="5" borderId="16" xfId="0" applyFont="1" applyFill="1" applyBorder="1" applyAlignment="1">
      <alignment vertical="center" wrapText="1"/>
    </xf>
    <xf numFmtId="0" fontId="6" fillId="6" borderId="26" xfId="0" applyFont="1" applyFill="1" applyBorder="1" applyAlignment="1">
      <alignment wrapText="1"/>
    </xf>
    <xf numFmtId="0" fontId="6" fillId="6" borderId="27" xfId="0" applyFont="1" applyFill="1" applyBorder="1" applyAlignment="1">
      <alignment horizontal="right" wrapText="1"/>
    </xf>
    <xf numFmtId="0" fontId="6" fillId="6" borderId="28" xfId="0" applyFont="1" applyFill="1" applyBorder="1" applyAlignment="1">
      <alignment horizontal="right" wrapText="1"/>
    </xf>
    <xf numFmtId="0" fontId="6" fillId="5" borderId="26" xfId="0" applyFont="1" applyFill="1" applyBorder="1" applyAlignment="1">
      <alignment wrapText="1"/>
    </xf>
    <xf numFmtId="4" fontId="6" fillId="5" borderId="27" xfId="0" applyNumberFormat="1" applyFont="1" applyFill="1" applyBorder="1" applyAlignment="1">
      <alignment wrapText="1"/>
    </xf>
    <xf numFmtId="4" fontId="6" fillId="5" borderId="28" xfId="0" applyNumberFormat="1" applyFont="1" applyFill="1" applyBorder="1" applyAlignment="1">
      <alignment wrapText="1"/>
    </xf>
    <xf numFmtId="0" fontId="6" fillId="5" borderId="0" xfId="0" applyFont="1" applyFill="1" applyAlignment="1">
      <alignment wrapText="1"/>
    </xf>
    <xf numFmtId="0" fontId="6" fillId="5" borderId="0" xfId="0" applyFont="1" applyFill="1"/>
    <xf numFmtId="0" fontId="6" fillId="6" borderId="26" xfId="0" applyFont="1" applyFill="1" applyBorder="1"/>
    <xf numFmtId="0" fontId="6" fillId="6" borderId="27" xfId="0" applyFont="1" applyFill="1" applyBorder="1" applyAlignment="1">
      <alignment horizontal="right"/>
    </xf>
    <xf numFmtId="0" fontId="6" fillId="6" borderId="28" xfId="0" applyFont="1" applyFill="1" applyBorder="1" applyAlignment="1">
      <alignment horizontal="right"/>
    </xf>
    <xf numFmtId="0" fontId="6" fillId="5" borderId="26" xfId="0" applyFont="1" applyFill="1" applyBorder="1"/>
    <xf numFmtId="4" fontId="6" fillId="5" borderId="27" xfId="0" applyNumberFormat="1" applyFont="1" applyFill="1" applyBorder="1"/>
    <xf numFmtId="4" fontId="6" fillId="5" borderId="28" xfId="0" applyNumberFormat="1" applyFont="1" applyFill="1" applyBorder="1"/>
    <xf numFmtId="0" fontId="6" fillId="2" borderId="0" xfId="0" applyFont="1" applyFill="1"/>
    <xf numFmtId="10" fontId="6" fillId="2" borderId="0" xfId="0" applyNumberFormat="1" applyFont="1" applyFill="1"/>
    <xf numFmtId="0" fontId="6" fillId="5" borderId="16" xfId="0" applyFont="1" applyFill="1" applyBorder="1" applyAlignment="1">
      <alignment wrapText="1"/>
    </xf>
    <xf numFmtId="4" fontId="4" fillId="5" borderId="1" xfId="0" applyNumberFormat="1" applyFont="1" applyFill="1" applyBorder="1"/>
    <xf numFmtId="166" fontId="3" fillId="5" borderId="38" xfId="0" applyNumberFormat="1" applyFont="1" applyFill="1" applyBorder="1"/>
    <xf numFmtId="4" fontId="4" fillId="5" borderId="21" xfId="0" applyNumberFormat="1" applyFont="1" applyFill="1" applyBorder="1"/>
    <xf numFmtId="4" fontId="4" fillId="5" borderId="17" xfId="0" applyNumberFormat="1" applyFont="1" applyFill="1" applyBorder="1"/>
    <xf numFmtId="0" fontId="3" fillId="5" borderId="33" xfId="0" applyFont="1" applyFill="1" applyBorder="1"/>
    <xf numFmtId="0" fontId="1" fillId="0" borderId="43" xfId="0" applyFont="1" applyBorder="1"/>
    <xf numFmtId="0" fontId="3" fillId="5" borderId="39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166" fontId="4" fillId="0" borderId="17" xfId="0" applyNumberFormat="1" applyFont="1" applyBorder="1"/>
    <xf numFmtId="166" fontId="3" fillId="5" borderId="13" xfId="0" applyNumberFormat="1" applyFont="1" applyFill="1" applyBorder="1"/>
    <xf numFmtId="166" fontId="3" fillId="5" borderId="14" xfId="0" applyNumberFormat="1" applyFont="1" applyFill="1" applyBorder="1"/>
    <xf numFmtId="0" fontId="3" fillId="5" borderId="38" xfId="0" applyFont="1" applyFill="1" applyBorder="1"/>
    <xf numFmtId="0" fontId="3" fillId="5" borderId="12" xfId="0" applyFont="1" applyFill="1" applyBorder="1"/>
    <xf numFmtId="165" fontId="4" fillId="0" borderId="17" xfId="0" applyNumberFormat="1" applyFont="1" applyBorder="1"/>
    <xf numFmtId="165" fontId="3" fillId="5" borderId="13" xfId="0" applyNumberFormat="1" applyFont="1" applyFill="1" applyBorder="1"/>
    <xf numFmtId="165" fontId="3" fillId="5" borderId="14" xfId="0" applyNumberFormat="1" applyFont="1" applyFill="1" applyBorder="1"/>
    <xf numFmtId="164" fontId="4" fillId="2" borderId="1" xfId="0" applyNumberFormat="1" applyFont="1" applyFill="1" applyBorder="1"/>
    <xf numFmtId="0" fontId="4" fillId="2" borderId="21" xfId="0" applyFont="1" applyFill="1" applyBorder="1"/>
    <xf numFmtId="164" fontId="4" fillId="2" borderId="18" xfId="0" applyNumberFormat="1" applyFont="1" applyFill="1" applyBorder="1"/>
    <xf numFmtId="164" fontId="3" fillId="5" borderId="44" xfId="0" applyNumberFormat="1" applyFont="1" applyFill="1" applyBorder="1"/>
    <xf numFmtId="166" fontId="3" fillId="5" borderId="12" xfId="0" applyNumberFormat="1" applyFont="1" applyFill="1" applyBorder="1"/>
    <xf numFmtId="0" fontId="3" fillId="0" borderId="0" xfId="0" applyFont="1" applyAlignment="1">
      <alignment horizontal="left" vertical="top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7" fontId="3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7" fontId="4" fillId="2" borderId="1" xfId="0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horizontal="left" vertical="top"/>
    </xf>
    <xf numFmtId="167" fontId="4" fillId="2" borderId="47" xfId="0" applyNumberFormat="1" applyFont="1" applyFill="1" applyBorder="1" applyAlignment="1">
      <alignment horizontal="right" vertical="center"/>
    </xf>
    <xf numFmtId="167" fontId="4" fillId="2" borderId="17" xfId="0" applyNumberFormat="1" applyFont="1" applyFill="1" applyBorder="1" applyAlignment="1">
      <alignment horizontal="center" vertical="center"/>
    </xf>
    <xf numFmtId="167" fontId="3" fillId="2" borderId="16" xfId="0" applyNumberFormat="1" applyFont="1" applyFill="1" applyBorder="1" applyAlignment="1">
      <alignment horizontal="center" vertical="center"/>
    </xf>
    <xf numFmtId="167" fontId="3" fillId="2" borderId="49" xfId="0" applyNumberFormat="1" applyFont="1" applyFill="1" applyBorder="1" applyAlignment="1">
      <alignment horizontal="center" vertical="center"/>
    </xf>
    <xf numFmtId="167" fontId="3" fillId="2" borderId="28" xfId="0" applyNumberFormat="1" applyFont="1" applyFill="1" applyBorder="1" applyAlignment="1">
      <alignment horizontal="center" vertical="center"/>
    </xf>
    <xf numFmtId="167" fontId="3" fillId="2" borderId="35" xfId="0" applyNumberFormat="1" applyFont="1" applyFill="1" applyBorder="1" applyAlignment="1">
      <alignment horizontal="center" vertical="center"/>
    </xf>
    <xf numFmtId="167" fontId="3" fillId="2" borderId="50" xfId="0" applyNumberFormat="1" applyFont="1" applyFill="1" applyBorder="1" applyAlignment="1">
      <alignment horizontal="center" vertical="center"/>
    </xf>
    <xf numFmtId="167" fontId="3" fillId="2" borderId="51" xfId="0" applyNumberFormat="1" applyFont="1" applyFill="1" applyBorder="1" applyAlignment="1">
      <alignment horizontal="center" vertical="center"/>
    </xf>
    <xf numFmtId="167" fontId="3" fillId="2" borderId="52" xfId="0" applyNumberFormat="1" applyFont="1" applyFill="1" applyBorder="1" applyAlignment="1">
      <alignment horizontal="center" vertical="center"/>
    </xf>
    <xf numFmtId="4" fontId="3" fillId="2" borderId="53" xfId="0" applyNumberFormat="1" applyFont="1" applyFill="1" applyBorder="1" applyAlignment="1">
      <alignment horizontal="center" vertical="center"/>
    </xf>
    <xf numFmtId="4" fontId="3" fillId="2" borderId="54" xfId="0" applyNumberFormat="1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7" fontId="4" fillId="2" borderId="14" xfId="0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horizontal="left" vertical="top" wrapText="1"/>
    </xf>
    <xf numFmtId="167" fontId="4" fillId="2" borderId="13" xfId="0" applyNumberFormat="1" applyFont="1" applyFill="1" applyBorder="1" applyAlignment="1">
      <alignment horizontal="center" vertical="center"/>
    </xf>
    <xf numFmtId="167" fontId="4" fillId="2" borderId="31" xfId="0" applyNumberFormat="1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4" fillId="2" borderId="50" xfId="0" applyFont="1" applyFill="1" applyBorder="1"/>
    <xf numFmtId="3" fontId="4" fillId="2" borderId="56" xfId="0" applyNumberFormat="1" applyFont="1" applyFill="1" applyBorder="1" applyAlignment="1">
      <alignment horizontal="center" vertical="center"/>
    </xf>
    <xf numFmtId="4" fontId="4" fillId="2" borderId="56" xfId="0" applyNumberFormat="1" applyFont="1" applyFill="1" applyBorder="1" applyAlignment="1">
      <alignment horizontal="center" vertical="center"/>
    </xf>
    <xf numFmtId="167" fontId="4" fillId="2" borderId="51" xfId="0" applyNumberFormat="1" applyFont="1" applyFill="1" applyBorder="1" applyAlignment="1">
      <alignment horizontal="center" vertical="center"/>
    </xf>
    <xf numFmtId="0" fontId="4" fillId="0" borderId="46" xfId="0" applyFont="1" applyBorder="1" applyAlignment="1">
      <alignment horizontal="left" vertical="top" wrapText="1"/>
    </xf>
    <xf numFmtId="0" fontId="4" fillId="4" borderId="4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 wrapText="1"/>
    </xf>
    <xf numFmtId="167" fontId="4" fillId="2" borderId="30" xfId="0" applyNumberFormat="1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wrapText="1"/>
    </xf>
    <xf numFmtId="3" fontId="3" fillId="5" borderId="49" xfId="0" applyNumberFormat="1" applyFont="1" applyFill="1" applyBorder="1" applyAlignment="1">
      <alignment horizontal="center" vertical="center"/>
    </xf>
    <xf numFmtId="0" fontId="4" fillId="0" borderId="45" xfId="0" applyFont="1" applyBorder="1" applyAlignment="1">
      <alignment horizontal="left" vertical="top" wrapText="1"/>
    </xf>
    <xf numFmtId="3" fontId="3" fillId="5" borderId="49" xfId="0" applyNumberFormat="1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left" vertical="top"/>
    </xf>
    <xf numFmtId="164" fontId="3" fillId="5" borderId="0" xfId="0" applyNumberFormat="1" applyFont="1" applyFill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0" fontId="4" fillId="0" borderId="32" xfId="0" applyFont="1" applyBorder="1" applyAlignment="1">
      <alignment horizontal="left" vertical="top" wrapText="1"/>
    </xf>
    <xf numFmtId="0" fontId="4" fillId="7" borderId="15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vertical="top"/>
    </xf>
    <xf numFmtId="167" fontId="4" fillId="7" borderId="30" xfId="0" applyNumberFormat="1" applyFont="1" applyFill="1" applyBorder="1" applyAlignment="1">
      <alignment horizontal="center" vertical="center"/>
    </xf>
    <xf numFmtId="167" fontId="4" fillId="7" borderId="31" xfId="0" applyNumberFormat="1" applyFont="1" applyFill="1" applyBorder="1" applyAlignment="1">
      <alignment horizontal="center" vertical="center"/>
    </xf>
    <xf numFmtId="0" fontId="0" fillId="7" borderId="0" xfId="0" applyFill="1"/>
    <xf numFmtId="0" fontId="0" fillId="8" borderId="0" xfId="0" applyFill="1"/>
    <xf numFmtId="0" fontId="4" fillId="7" borderId="6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vertical="top" wrapText="1"/>
    </xf>
    <xf numFmtId="167" fontId="4" fillId="7" borderId="13" xfId="0" applyNumberFormat="1" applyFont="1" applyFill="1" applyBorder="1" applyAlignment="1">
      <alignment horizontal="center" vertical="center"/>
    </xf>
    <xf numFmtId="167" fontId="4" fillId="7" borderId="14" xfId="0" applyNumberFormat="1" applyFont="1" applyFill="1" applyBorder="1" applyAlignment="1">
      <alignment horizontal="center" vertical="center"/>
    </xf>
    <xf numFmtId="0" fontId="4" fillId="8" borderId="55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167" fontId="4" fillId="8" borderId="57" xfId="0" applyNumberFormat="1" applyFont="1" applyFill="1" applyBorder="1" applyAlignment="1">
      <alignment horizontal="center" vertical="center"/>
    </xf>
    <xf numFmtId="167" fontId="4" fillId="8" borderId="54" xfId="0" applyNumberFormat="1" applyFont="1" applyFill="1" applyBorder="1" applyAlignment="1">
      <alignment horizontal="center" vertical="center"/>
    </xf>
    <xf numFmtId="0" fontId="4" fillId="7" borderId="55" xfId="0" applyFont="1" applyFill="1" applyBorder="1" applyAlignment="1">
      <alignment horizontal="center" vertical="center"/>
    </xf>
    <xf numFmtId="0" fontId="4" fillId="7" borderId="52" xfId="0" applyFont="1" applyFill="1" applyBorder="1" applyAlignment="1">
      <alignment horizontal="center" vertical="center"/>
    </xf>
    <xf numFmtId="0" fontId="4" fillId="7" borderId="53" xfId="0" applyFont="1" applyFill="1" applyBorder="1" applyAlignment="1">
      <alignment horizontal="left" vertical="top"/>
    </xf>
    <xf numFmtId="167" fontId="4" fillId="7" borderId="57" xfId="0" applyNumberFormat="1" applyFont="1" applyFill="1" applyBorder="1" applyAlignment="1">
      <alignment horizontal="center" vertical="center"/>
    </xf>
    <xf numFmtId="167" fontId="4" fillId="7" borderId="54" xfId="0" applyNumberFormat="1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167" fontId="4" fillId="8" borderId="30" xfId="0" applyNumberFormat="1" applyFont="1" applyFill="1" applyBorder="1" applyAlignment="1">
      <alignment horizontal="center" vertical="center"/>
    </xf>
    <xf numFmtId="167" fontId="4" fillId="8" borderId="31" xfId="0" applyNumberFormat="1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42" xfId="0" applyFont="1" applyFill="1" applyBorder="1" applyAlignment="1">
      <alignment horizontal="left" vertical="top"/>
    </xf>
    <xf numFmtId="167" fontId="4" fillId="7" borderId="1" xfId="0" applyNumberFormat="1" applyFont="1" applyFill="1" applyBorder="1" applyAlignment="1">
      <alignment horizontal="center" vertical="center"/>
    </xf>
    <xf numFmtId="167" fontId="4" fillId="7" borderId="17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42" xfId="0" applyFont="1" applyFill="1" applyBorder="1" applyAlignment="1">
      <alignment horizontal="left" vertical="top"/>
    </xf>
    <xf numFmtId="167" fontId="4" fillId="8" borderId="1" xfId="0" applyNumberFormat="1" applyFont="1" applyFill="1" applyBorder="1" applyAlignment="1">
      <alignment horizontal="center" vertical="center"/>
    </xf>
    <xf numFmtId="167" fontId="4" fillId="8" borderId="17" xfId="0" applyNumberFormat="1" applyFont="1" applyFill="1" applyBorder="1" applyAlignment="1">
      <alignment horizontal="center" vertical="center"/>
    </xf>
    <xf numFmtId="0" fontId="4" fillId="7" borderId="42" xfId="0" applyFont="1" applyFill="1" applyBorder="1" applyAlignment="1">
      <alignment horizontal="left" vertical="top" wrapText="1"/>
    </xf>
    <xf numFmtId="0" fontId="4" fillId="8" borderId="42" xfId="0" applyFont="1" applyFill="1" applyBorder="1" applyAlignment="1">
      <alignment horizontal="left" vertical="top" wrapText="1"/>
    </xf>
    <xf numFmtId="167" fontId="4" fillId="8" borderId="1" xfId="2" applyNumberFormat="1" applyFont="1" applyFill="1" applyBorder="1" applyAlignment="1">
      <alignment horizontal="center" vertical="center"/>
    </xf>
    <xf numFmtId="0" fontId="4" fillId="7" borderId="53" xfId="0" applyFont="1" applyFill="1" applyBorder="1" applyAlignment="1">
      <alignment horizontal="left" vertical="top" wrapText="1"/>
    </xf>
    <xf numFmtId="0" fontId="4" fillId="7" borderId="52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45" xfId="0" applyFont="1" applyFill="1" applyBorder="1" applyAlignment="1">
      <alignment horizontal="left" vertical="top" wrapText="1"/>
    </xf>
    <xf numFmtId="0" fontId="4" fillId="8" borderId="6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wrapText="1"/>
    </xf>
    <xf numFmtId="0" fontId="4" fillId="8" borderId="46" xfId="0" applyFont="1" applyFill="1" applyBorder="1" applyAlignment="1">
      <alignment horizontal="left" vertical="top"/>
    </xf>
    <xf numFmtId="167" fontId="4" fillId="8" borderId="13" xfId="0" applyNumberFormat="1" applyFont="1" applyFill="1" applyBorder="1" applyAlignment="1">
      <alignment horizontal="center" vertical="center"/>
    </xf>
    <xf numFmtId="167" fontId="4" fillId="8" borderId="14" xfId="0" applyNumberFormat="1" applyFont="1" applyFill="1" applyBorder="1" applyAlignment="1">
      <alignment horizontal="center" vertical="center"/>
    </xf>
    <xf numFmtId="0" fontId="4" fillId="7" borderId="45" xfId="0" applyFont="1" applyFill="1" applyBorder="1" applyAlignment="1">
      <alignment horizontal="left" vertical="top"/>
    </xf>
    <xf numFmtId="0" fontId="4" fillId="7" borderId="8" xfId="0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vertical="top"/>
    </xf>
    <xf numFmtId="0" fontId="4" fillId="8" borderId="45" xfId="0" applyFont="1" applyFill="1" applyBorder="1" applyAlignment="1">
      <alignment vertical="top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42" xfId="0" applyFont="1" applyFill="1" applyBorder="1" applyAlignment="1">
      <alignment vertical="top" wrapText="1"/>
    </xf>
    <xf numFmtId="0" fontId="4" fillId="8" borderId="9" xfId="0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167" fontId="0" fillId="0" borderId="0" xfId="0" applyNumberFormat="1"/>
    <xf numFmtId="2" fontId="3" fillId="2" borderId="52" xfId="0" applyNumberFormat="1" applyFont="1" applyFill="1" applyBorder="1" applyAlignment="1">
      <alignment horizontal="center" vertical="center"/>
    </xf>
    <xf numFmtId="3" fontId="3" fillId="5" borderId="27" xfId="0" applyNumberFormat="1" applyFont="1" applyFill="1" applyBorder="1" applyAlignment="1">
      <alignment horizontal="center" vertical="center"/>
    </xf>
    <xf numFmtId="167" fontId="3" fillId="5" borderId="27" xfId="0" applyNumberFormat="1" applyFont="1" applyFill="1" applyBorder="1" applyAlignment="1">
      <alignment horizontal="center" vertical="center"/>
    </xf>
    <xf numFmtId="0" fontId="4" fillId="8" borderId="53" xfId="0" applyFont="1" applyFill="1" applyBorder="1" applyAlignment="1">
      <alignment horizontal="left" vertical="center" wrapText="1"/>
    </xf>
    <xf numFmtId="0" fontId="4" fillId="8" borderId="42" xfId="0" applyFont="1" applyFill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167" fontId="3" fillId="5" borderId="27" xfId="0" applyNumberFormat="1" applyFont="1" applyFill="1" applyBorder="1" applyAlignment="1">
      <alignment horizontal="center" vertical="center" wrapText="1"/>
    </xf>
    <xf numFmtId="0" fontId="4" fillId="8" borderId="46" xfId="0" applyFont="1" applyFill="1" applyBorder="1" applyAlignment="1">
      <alignment horizontal="left" vertical="center"/>
    </xf>
    <xf numFmtId="0" fontId="4" fillId="8" borderId="42" xfId="0" applyFont="1" applyFill="1" applyBorder="1" applyAlignment="1">
      <alignment vertical="center"/>
    </xf>
    <xf numFmtId="0" fontId="4" fillId="0" borderId="42" xfId="0" applyFont="1" applyBorder="1" applyAlignment="1">
      <alignment vertical="center"/>
    </xf>
    <xf numFmtId="3" fontId="4" fillId="2" borderId="46" xfId="0" applyNumberFormat="1" applyFont="1" applyFill="1" applyBorder="1" applyAlignment="1">
      <alignment vertical="center"/>
    </xf>
    <xf numFmtId="0" fontId="4" fillId="7" borderId="42" xfId="0" applyFont="1" applyFill="1" applyBorder="1" applyAlignment="1">
      <alignment vertical="center"/>
    </xf>
    <xf numFmtId="0" fontId="4" fillId="8" borderId="53" xfId="0" applyFont="1" applyFill="1" applyBorder="1" applyAlignment="1">
      <alignment horizontal="left" vertical="center"/>
    </xf>
    <xf numFmtId="0" fontId="4" fillId="8" borderId="45" xfId="0" applyFont="1" applyFill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</cellXfs>
  <cellStyles count="3">
    <cellStyle name="Normal" xfId="0" builtinId="0"/>
    <cellStyle name="Presje" xfId="1" builtinId="3"/>
    <cellStyle name="Valutë" xfId="2" builtinId="4"/>
  </cellStyles>
  <dxfs count="0"/>
  <tableStyles count="0" defaultTableStyle="TableStyleMedium2" defaultPivotStyle="PivotStyleLight16"/>
  <colors>
    <mruColors>
      <color rgb="FFA9A9A9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topLeftCell="A16" workbookViewId="0">
      <selection activeCell="O24" sqref="O24"/>
    </sheetView>
  </sheetViews>
  <sheetFormatPr defaultRowHeight="15" x14ac:dyDescent="0.25"/>
  <cols>
    <col min="1" max="1" width="12" bestFit="1" customWidth="1"/>
    <col min="2" max="2" width="36.42578125" customWidth="1"/>
    <col min="3" max="3" width="5.7109375" customWidth="1"/>
    <col min="4" max="5" width="15.7109375" bestFit="1" customWidth="1"/>
    <col min="6" max="6" width="18.42578125" customWidth="1"/>
    <col min="10" max="12" width="10.5703125" bestFit="1" customWidth="1"/>
  </cols>
  <sheetData>
    <row r="1" spans="1:6" ht="15.75" thickBot="1" x14ac:dyDescent="0.3"/>
    <row r="2" spans="1:6" ht="16.5" thickBot="1" x14ac:dyDescent="0.3">
      <c r="A2" s="52" t="s">
        <v>104</v>
      </c>
      <c r="B2" s="83" t="s">
        <v>105</v>
      </c>
      <c r="C2" s="53" t="s">
        <v>121</v>
      </c>
      <c r="D2" s="81">
        <v>2027</v>
      </c>
      <c r="E2" s="82">
        <v>2028</v>
      </c>
      <c r="F2" s="81">
        <v>2029</v>
      </c>
    </row>
    <row r="3" spans="1:6" ht="16.5" thickBot="1" x14ac:dyDescent="0.3">
      <c r="A3" s="54" t="s">
        <v>106</v>
      </c>
      <c r="B3" s="55"/>
      <c r="C3" s="56"/>
      <c r="D3" s="56"/>
      <c r="E3" s="57"/>
      <c r="F3" s="56"/>
    </row>
    <row r="4" spans="1:6" ht="16.5" thickBot="1" x14ac:dyDescent="0.3">
      <c r="A4" s="58">
        <v>1</v>
      </c>
      <c r="B4" s="59">
        <v>2</v>
      </c>
      <c r="C4" s="50">
        <v>3</v>
      </c>
      <c r="D4" s="60">
        <v>4</v>
      </c>
      <c r="E4" s="59">
        <v>5</v>
      </c>
      <c r="F4" s="59" t="s">
        <v>122</v>
      </c>
    </row>
    <row r="5" spans="1:6" ht="15.75" x14ac:dyDescent="0.25">
      <c r="A5" s="61">
        <v>16019</v>
      </c>
      <c r="B5" s="3" t="s">
        <v>1</v>
      </c>
      <c r="C5" s="79">
        <v>21</v>
      </c>
      <c r="D5" s="5">
        <v>249923.98620000004</v>
      </c>
      <c r="E5" s="4">
        <f>+D5*0.5%+D5+1</f>
        <v>251174.60613100004</v>
      </c>
      <c r="F5" s="6">
        <f>+E5*0.5%+E5+0.99</f>
        <v>252431.46916165503</v>
      </c>
    </row>
    <row r="6" spans="1:6" ht="15.75" x14ac:dyDescent="0.25">
      <c r="A6" s="62">
        <v>16319</v>
      </c>
      <c r="B6" s="7" t="s">
        <v>183</v>
      </c>
      <c r="C6" s="80">
        <v>57</v>
      </c>
      <c r="D6" s="9">
        <v>531885.53879999986</v>
      </c>
      <c r="E6" s="8">
        <f t="shared" ref="E6:F30" si="0">+D6*0.5%+D6</f>
        <v>534544.96649399982</v>
      </c>
      <c r="F6" s="10">
        <f t="shared" si="0"/>
        <v>537217.69132646977</v>
      </c>
    </row>
    <row r="7" spans="1:6" ht="15.75" x14ac:dyDescent="0.25">
      <c r="A7" s="62">
        <v>16519</v>
      </c>
      <c r="B7" s="7" t="s">
        <v>184</v>
      </c>
      <c r="C7" s="80">
        <v>2</v>
      </c>
      <c r="D7" s="10">
        <v>20067.900000000001</v>
      </c>
      <c r="E7" s="8">
        <f t="shared" si="0"/>
        <v>20168.2395</v>
      </c>
      <c r="F7" s="10">
        <f t="shared" si="0"/>
        <v>20269.080697500001</v>
      </c>
    </row>
    <row r="8" spans="1:6" ht="15.75" x14ac:dyDescent="0.25">
      <c r="A8" s="62">
        <v>16559</v>
      </c>
      <c r="B8" s="7" t="s">
        <v>185</v>
      </c>
      <c r="C8" s="80">
        <v>1</v>
      </c>
      <c r="D8" s="9">
        <v>12764.921400000003</v>
      </c>
      <c r="E8" s="8">
        <f t="shared" si="0"/>
        <v>12828.746007000003</v>
      </c>
      <c r="F8" s="10">
        <f t="shared" si="0"/>
        <v>12892.889737035004</v>
      </c>
    </row>
    <row r="9" spans="1:6" ht="15.75" x14ac:dyDescent="0.25">
      <c r="A9" s="62">
        <v>16637</v>
      </c>
      <c r="B9" s="7" t="s">
        <v>22</v>
      </c>
      <c r="C9" s="80">
        <v>27</v>
      </c>
      <c r="D9" s="10">
        <v>254207.23</v>
      </c>
      <c r="E9" s="8">
        <f t="shared" si="0"/>
        <v>255478.26615000001</v>
      </c>
      <c r="F9" s="10">
        <f t="shared" si="0"/>
        <v>256755.65748075</v>
      </c>
    </row>
    <row r="10" spans="1:6" ht="15.75" x14ac:dyDescent="0.25">
      <c r="A10" s="62">
        <v>16795</v>
      </c>
      <c r="B10" s="7" t="s">
        <v>24</v>
      </c>
      <c r="C10" s="80">
        <v>4</v>
      </c>
      <c r="D10" s="10">
        <v>40841.4</v>
      </c>
      <c r="E10" s="8">
        <f t="shared" si="0"/>
        <v>41045.607000000004</v>
      </c>
      <c r="F10" s="10">
        <f t="shared" si="0"/>
        <v>41250.835035000004</v>
      </c>
    </row>
    <row r="11" spans="1:6" ht="15.75" x14ac:dyDescent="0.25">
      <c r="A11" s="62">
        <v>16919</v>
      </c>
      <c r="B11" s="7" t="s">
        <v>107</v>
      </c>
      <c r="C11" s="80">
        <v>35</v>
      </c>
      <c r="D11" s="10">
        <v>408419.87</v>
      </c>
      <c r="E11" s="8">
        <f t="shared" si="0"/>
        <v>410461.96934999997</v>
      </c>
      <c r="F11" s="10">
        <f t="shared" si="0"/>
        <v>412514.27919674997</v>
      </c>
    </row>
    <row r="12" spans="1:6" ht="15.75" x14ac:dyDescent="0.25">
      <c r="A12" s="62">
        <v>17519</v>
      </c>
      <c r="B12" s="7" t="s">
        <v>108</v>
      </c>
      <c r="C12" s="80">
        <v>34</v>
      </c>
      <c r="D12" s="10">
        <v>338382.05940000003</v>
      </c>
      <c r="E12" s="8">
        <f>+D12*0.5%+D12+0.01</f>
        <v>340073.97969700006</v>
      </c>
      <c r="F12" s="10">
        <f t="shared" si="0"/>
        <v>341774.34959548508</v>
      </c>
    </row>
    <row r="13" spans="1:6" ht="15.75" x14ac:dyDescent="0.25">
      <c r="A13" s="62">
        <v>18019</v>
      </c>
      <c r="B13" s="7" t="s">
        <v>186</v>
      </c>
      <c r="C13" s="80">
        <v>15</v>
      </c>
      <c r="D13" s="10">
        <f>171509.3478+5000</f>
        <v>176509.34779999999</v>
      </c>
      <c r="E13" s="8">
        <f t="shared" si="0"/>
        <v>177391.894539</v>
      </c>
      <c r="F13" s="10">
        <f t="shared" si="0"/>
        <v>178278.85401169499</v>
      </c>
    </row>
    <row r="14" spans="1:6" ht="15.75" x14ac:dyDescent="0.25">
      <c r="A14" s="62">
        <v>18295</v>
      </c>
      <c r="B14" s="7" t="s">
        <v>187</v>
      </c>
      <c r="C14" s="80">
        <v>40</v>
      </c>
      <c r="D14" s="10">
        <v>472884.68</v>
      </c>
      <c r="E14" s="8">
        <f t="shared" si="0"/>
        <v>475249.10340000002</v>
      </c>
      <c r="F14" s="10">
        <f t="shared" si="0"/>
        <v>477625.348917</v>
      </c>
    </row>
    <row r="15" spans="1:6" ht="15.75" x14ac:dyDescent="0.25">
      <c r="A15" s="62">
        <v>19595</v>
      </c>
      <c r="B15" s="7" t="s">
        <v>109</v>
      </c>
      <c r="C15" s="80">
        <v>8</v>
      </c>
      <c r="D15" s="10">
        <v>73521.460000000006</v>
      </c>
      <c r="E15" s="8">
        <f t="shared" si="0"/>
        <v>73889.06730000001</v>
      </c>
      <c r="F15" s="10">
        <f t="shared" si="0"/>
        <v>74258.512636500003</v>
      </c>
    </row>
    <row r="16" spans="1:6" ht="15.75" x14ac:dyDescent="0.25">
      <c r="A16" s="62">
        <v>47019</v>
      </c>
      <c r="B16" s="7" t="s">
        <v>110</v>
      </c>
      <c r="C16" s="80">
        <v>23</v>
      </c>
      <c r="D16" s="10">
        <v>202785.16</v>
      </c>
      <c r="E16" s="8">
        <f t="shared" si="0"/>
        <v>203799.0858</v>
      </c>
      <c r="F16" s="10">
        <f t="shared" si="0"/>
        <v>204818.081229</v>
      </c>
    </row>
    <row r="17" spans="1:12" ht="15.75" x14ac:dyDescent="0.25">
      <c r="A17" s="62">
        <v>48019</v>
      </c>
      <c r="B17" s="7" t="s">
        <v>111</v>
      </c>
      <c r="C17" s="80">
        <v>6</v>
      </c>
      <c r="D17" s="10">
        <v>68446.501199999999</v>
      </c>
      <c r="E17" s="8">
        <f t="shared" si="0"/>
        <v>68788.733705999999</v>
      </c>
      <c r="F17" s="10">
        <f t="shared" si="0"/>
        <v>69132.677374530002</v>
      </c>
    </row>
    <row r="18" spans="1:12" ht="15.75" x14ac:dyDescent="0.25">
      <c r="A18" s="62">
        <v>65095</v>
      </c>
      <c r="B18" s="7" t="s">
        <v>188</v>
      </c>
      <c r="C18" s="80">
        <v>18</v>
      </c>
      <c r="D18" s="10">
        <v>190364.88240000003</v>
      </c>
      <c r="E18" s="8">
        <f t="shared" si="0"/>
        <v>191316.70681200002</v>
      </c>
      <c r="F18" s="10">
        <f t="shared" si="0"/>
        <v>192273.29034606001</v>
      </c>
    </row>
    <row r="19" spans="1:12" ht="15.75" x14ac:dyDescent="0.25">
      <c r="A19" s="62">
        <v>65495</v>
      </c>
      <c r="B19" s="7" t="s">
        <v>189</v>
      </c>
      <c r="C19" s="80">
        <v>5</v>
      </c>
      <c r="D19" s="10">
        <v>58423.55</v>
      </c>
      <c r="E19" s="8">
        <f t="shared" si="0"/>
        <v>58715.667750000001</v>
      </c>
      <c r="F19" s="10">
        <f t="shared" si="0"/>
        <v>59009.246088749998</v>
      </c>
    </row>
    <row r="20" spans="1:12" ht="15.75" x14ac:dyDescent="0.25">
      <c r="A20" s="62">
        <v>66100</v>
      </c>
      <c r="B20" s="7" t="s">
        <v>112</v>
      </c>
      <c r="C20" s="80">
        <v>12</v>
      </c>
      <c r="D20" s="10">
        <v>132161.39000000001</v>
      </c>
      <c r="E20" s="8">
        <f t="shared" si="0"/>
        <v>132822.19695000001</v>
      </c>
      <c r="F20" s="10">
        <f t="shared" si="0"/>
        <v>133486.30793475002</v>
      </c>
    </row>
    <row r="21" spans="1:12" ht="15.75" x14ac:dyDescent="0.25">
      <c r="A21" s="62">
        <v>73028</v>
      </c>
      <c r="B21" s="7" t="s">
        <v>190</v>
      </c>
      <c r="C21" s="80">
        <v>4</v>
      </c>
      <c r="D21" s="10">
        <v>42410.97</v>
      </c>
      <c r="E21" s="8">
        <f t="shared" si="0"/>
        <v>42623.024850000002</v>
      </c>
      <c r="F21" s="10">
        <f t="shared" si="0"/>
        <v>42836.13997425</v>
      </c>
    </row>
    <row r="22" spans="1:12" ht="15.75" x14ac:dyDescent="0.25">
      <c r="A22" s="62">
        <v>74100</v>
      </c>
      <c r="B22" s="7" t="s">
        <v>191</v>
      </c>
      <c r="C22" s="80">
        <v>359</v>
      </c>
      <c r="D22" s="10">
        <v>4060638.17</v>
      </c>
      <c r="E22" s="8">
        <f>+D22*0.5%+D22-0.99</f>
        <v>4080940.3708499996</v>
      </c>
      <c r="F22" s="10">
        <f t="shared" si="0"/>
        <v>4101345.0727042495</v>
      </c>
    </row>
    <row r="23" spans="1:12" ht="15.75" x14ac:dyDescent="0.25">
      <c r="A23" s="62">
        <v>75591</v>
      </c>
      <c r="B23" s="7" t="s">
        <v>94</v>
      </c>
      <c r="C23" s="80">
        <v>21</v>
      </c>
      <c r="D23" s="10">
        <v>190308.18799999999</v>
      </c>
      <c r="E23" s="8">
        <f t="shared" si="0"/>
        <v>191259.72894</v>
      </c>
      <c r="F23" s="10">
        <f>+E23*0.5%+E23-1.77</f>
        <v>192214.25758470001</v>
      </c>
    </row>
    <row r="24" spans="1:12" ht="15.75" x14ac:dyDescent="0.25">
      <c r="A24" s="62">
        <v>75592</v>
      </c>
      <c r="B24" s="7" t="s">
        <v>123</v>
      </c>
      <c r="C24" s="80">
        <v>10</v>
      </c>
      <c r="D24" s="10">
        <v>52500</v>
      </c>
      <c r="E24" s="8">
        <f t="shared" si="0"/>
        <v>52762.5</v>
      </c>
      <c r="F24" s="10">
        <f>+E24*0.5%+E24</f>
        <v>53026.3125</v>
      </c>
    </row>
    <row r="25" spans="1:12" ht="15.75" x14ac:dyDescent="0.25">
      <c r="A25" s="62">
        <v>85019</v>
      </c>
      <c r="B25" s="7" t="s">
        <v>96</v>
      </c>
      <c r="C25" s="80">
        <v>35</v>
      </c>
      <c r="D25" s="10">
        <v>315485.23</v>
      </c>
      <c r="E25" s="8">
        <f t="shared" si="0"/>
        <v>317062.65615</v>
      </c>
      <c r="F25" s="10">
        <f t="shared" ref="F25" si="1">+E25*0.5%+E25</f>
        <v>318647.96943075</v>
      </c>
      <c r="J25" s="21"/>
      <c r="K25" s="21"/>
      <c r="L25" s="21"/>
    </row>
    <row r="26" spans="1:12" ht="15.75" x14ac:dyDescent="0.25">
      <c r="A26" s="62">
        <v>85184</v>
      </c>
      <c r="B26" s="7" t="s">
        <v>113</v>
      </c>
      <c r="C26" s="80">
        <v>22</v>
      </c>
      <c r="D26" s="10">
        <v>216795.73</v>
      </c>
      <c r="E26" s="8">
        <f t="shared" si="0"/>
        <v>217879.70865000002</v>
      </c>
      <c r="F26" s="10">
        <f t="shared" ref="F26" si="2">+E26*0.5%+E26</f>
        <v>218969.10719325001</v>
      </c>
      <c r="J26" s="21"/>
      <c r="K26" s="21"/>
      <c r="L26" s="21"/>
    </row>
    <row r="27" spans="1:12" ht="15.75" x14ac:dyDescent="0.25">
      <c r="A27" s="62">
        <v>92095</v>
      </c>
      <c r="B27" s="7" t="s">
        <v>190</v>
      </c>
      <c r="C27" s="80">
        <v>15</v>
      </c>
      <c r="D27" s="10">
        <v>160963.60999999999</v>
      </c>
      <c r="E27" s="8">
        <f t="shared" si="0"/>
        <v>161768.42804999999</v>
      </c>
      <c r="F27" s="10">
        <f t="shared" ref="F27" si="3">+E27*0.5%+E27</f>
        <v>162577.27019024998</v>
      </c>
      <c r="J27" s="21"/>
      <c r="K27" s="21"/>
      <c r="L27" s="21"/>
    </row>
    <row r="28" spans="1:12" ht="15.75" x14ac:dyDescent="0.25">
      <c r="A28" s="62">
        <v>92570</v>
      </c>
      <c r="B28" s="7" t="s">
        <v>192</v>
      </c>
      <c r="C28" s="80">
        <v>105</v>
      </c>
      <c r="D28" s="10">
        <v>906969.95</v>
      </c>
      <c r="E28" s="8">
        <f t="shared" si="0"/>
        <v>911504.79975000001</v>
      </c>
      <c r="F28" s="10">
        <f t="shared" ref="F28" si="4">+E28*0.5%+E28</f>
        <v>916062.32374875003</v>
      </c>
      <c r="J28" s="21"/>
      <c r="K28" s="21"/>
      <c r="L28" s="21"/>
    </row>
    <row r="29" spans="1:12" ht="15.75" x14ac:dyDescent="0.25">
      <c r="A29" s="62">
        <v>93540</v>
      </c>
      <c r="B29" s="7" t="s">
        <v>193</v>
      </c>
      <c r="C29" s="80">
        <v>969</v>
      </c>
      <c r="D29" s="10">
        <f>9132320.09+150000+33830</f>
        <v>9316150.0899999999</v>
      </c>
      <c r="E29" s="8">
        <f t="shared" si="0"/>
        <v>9362730.84045</v>
      </c>
      <c r="F29" s="10">
        <f t="shared" ref="F29" si="5">+E29*0.5%+E29</f>
        <v>9409544.4946522508</v>
      </c>
    </row>
    <row r="30" spans="1:12" ht="15.75" x14ac:dyDescent="0.25">
      <c r="A30" s="62">
        <v>94740</v>
      </c>
      <c r="B30" s="7" t="s">
        <v>194</v>
      </c>
      <c r="C30" s="80">
        <v>374</v>
      </c>
      <c r="D30" s="10">
        <f>3557984.4+100000.78</f>
        <v>3657985.1799999997</v>
      </c>
      <c r="E30" s="8">
        <f t="shared" si="0"/>
        <v>3676275.1058999998</v>
      </c>
      <c r="F30" s="10">
        <f t="shared" ref="F30" si="6">+E30*0.5%+E30</f>
        <v>3694656.4814295</v>
      </c>
    </row>
    <row r="31" spans="1:12" ht="16.5" thickBot="1" x14ac:dyDescent="0.3">
      <c r="A31" s="63"/>
      <c r="B31" s="11"/>
      <c r="C31" s="63"/>
      <c r="D31" s="64"/>
      <c r="E31" s="65"/>
      <c r="F31" s="64"/>
    </row>
    <row r="32" spans="1:12" ht="16.5" thickBot="1" x14ac:dyDescent="0.3">
      <c r="A32" s="66"/>
      <c r="B32" s="67" t="s">
        <v>114</v>
      </c>
      <c r="C32" s="68">
        <f>SUM(C5:C30)</f>
        <v>2222</v>
      </c>
      <c r="D32" s="69">
        <f t="shared" ref="D32:E32" si="7">SUM(D5:D30)</f>
        <v>22151796.995200001</v>
      </c>
      <c r="E32" s="69">
        <f t="shared" si="7"/>
        <v>22262556.000176001</v>
      </c>
      <c r="F32" s="69">
        <f t="shared" ref="F32" si="8">SUM(F5:F30)</f>
        <v>22373868.000176881</v>
      </c>
    </row>
    <row r="33" spans="1:6" x14ac:dyDescent="0.25">
      <c r="A33" s="49"/>
      <c r="B33" s="49"/>
      <c r="C33" s="49"/>
      <c r="D33" s="70"/>
      <c r="E33" s="71"/>
      <c r="F33" s="72"/>
    </row>
    <row r="34" spans="1:6" x14ac:dyDescent="0.25">
      <c r="A34" s="49"/>
      <c r="B34" s="49"/>
      <c r="C34" s="49"/>
      <c r="D34" s="73">
        <v>22151797</v>
      </c>
      <c r="E34" s="74">
        <v>22262556</v>
      </c>
      <c r="F34" s="75">
        <v>22373868</v>
      </c>
    </row>
    <row r="35" spans="1:6" ht="15.75" thickBot="1" x14ac:dyDescent="0.3">
      <c r="A35" s="49"/>
      <c r="B35" s="49"/>
      <c r="C35" s="49"/>
      <c r="D35" s="76">
        <f>D32-D34</f>
        <v>-4.7999992966651917E-3</v>
      </c>
      <c r="E35" s="77">
        <f t="shared" ref="E35:F35" si="9">E32-E34</f>
        <v>1.7600134015083313E-4</v>
      </c>
      <c r="F35" s="78">
        <f t="shared" si="9"/>
        <v>1.7688050866127014E-4</v>
      </c>
    </row>
  </sheetData>
  <pageMargins left="0.7" right="0.7" top="0.75" bottom="0.75" header="0.3" footer="0.3"/>
  <pageSetup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5"/>
  <sheetViews>
    <sheetView topLeftCell="B72" zoomScale="128" zoomScaleNormal="128" workbookViewId="0">
      <selection activeCell="B82" sqref="B82"/>
    </sheetView>
  </sheetViews>
  <sheetFormatPr defaultColWidth="8.85546875" defaultRowHeight="15.75" x14ac:dyDescent="0.25"/>
  <cols>
    <col min="1" max="1" width="5" style="1" hidden="1" customWidth="1"/>
    <col min="2" max="2" width="49.28515625" style="12" customWidth="1"/>
    <col min="3" max="5" width="14.85546875" style="12" bestFit="1" customWidth="1"/>
    <col min="6" max="6" width="8.85546875" style="1"/>
    <col min="7" max="9" width="12.5703125" style="1" bestFit="1" customWidth="1"/>
    <col min="10" max="16384" width="8.85546875" style="1"/>
  </cols>
  <sheetData>
    <row r="1" spans="1:5" x14ac:dyDescent="0.25">
      <c r="B1" s="13" t="s">
        <v>181</v>
      </c>
    </row>
    <row r="2" spans="1:5" x14ac:dyDescent="0.25">
      <c r="B2" s="13" t="s">
        <v>76</v>
      </c>
    </row>
    <row r="3" spans="1:5" ht="17.25" customHeight="1" x14ac:dyDescent="0.25">
      <c r="B3" s="13"/>
    </row>
    <row r="4" spans="1:5" ht="16.5" thickBot="1" x14ac:dyDescent="0.3">
      <c r="B4" s="88" t="s">
        <v>1</v>
      </c>
    </row>
    <row r="5" spans="1:5" x14ac:dyDescent="0.25">
      <c r="A5" s="168"/>
      <c r="B5" s="174" t="s">
        <v>4</v>
      </c>
      <c r="C5" s="169">
        <v>2027</v>
      </c>
      <c r="D5" s="169">
        <v>2028</v>
      </c>
      <c r="E5" s="170">
        <v>2029</v>
      </c>
    </row>
    <row r="6" spans="1:5" x14ac:dyDescent="0.25">
      <c r="A6" s="168">
        <v>13142</v>
      </c>
      <c r="B6" s="12" t="s">
        <v>197</v>
      </c>
      <c r="C6" s="15">
        <v>5000</v>
      </c>
      <c r="D6" s="15">
        <v>5000</v>
      </c>
      <c r="E6" s="85">
        <v>5000</v>
      </c>
    </row>
    <row r="7" spans="1:5" x14ac:dyDescent="0.25">
      <c r="A7" s="168">
        <v>13420</v>
      </c>
      <c r="B7" s="12" t="s">
        <v>198</v>
      </c>
      <c r="C7" s="15">
        <v>40000</v>
      </c>
      <c r="D7" s="15">
        <v>40000</v>
      </c>
      <c r="E7" s="85">
        <v>40000</v>
      </c>
    </row>
    <row r="8" spans="1:5" x14ac:dyDescent="0.25">
      <c r="A8" s="168">
        <v>14310</v>
      </c>
      <c r="B8" s="12" t="s">
        <v>9</v>
      </c>
      <c r="C8" s="15">
        <v>12000</v>
      </c>
      <c r="D8" s="15">
        <v>12000</v>
      </c>
      <c r="E8" s="85">
        <v>12000</v>
      </c>
    </row>
    <row r="9" spans="1:5" x14ac:dyDescent="0.25">
      <c r="A9" s="168"/>
      <c r="B9" s="180" t="s">
        <v>196</v>
      </c>
      <c r="C9" s="179">
        <v>6000</v>
      </c>
      <c r="D9" s="179">
        <v>6000</v>
      </c>
      <c r="E9" s="181">
        <v>6000</v>
      </c>
    </row>
    <row r="10" spans="1:5" ht="16.5" thickBot="1" x14ac:dyDescent="0.3">
      <c r="A10" s="168"/>
      <c r="B10" s="175" t="s">
        <v>10</v>
      </c>
      <c r="C10" s="91">
        <f>SUM(C6:C9)</f>
        <v>63000</v>
      </c>
      <c r="D10" s="182">
        <f>SUM(D6:D9)</f>
        <v>63000</v>
      </c>
      <c r="E10" s="92">
        <f>SUM(E6:E9)</f>
        <v>63000</v>
      </c>
    </row>
    <row r="12" spans="1:5" ht="16.5" thickBot="1" x14ac:dyDescent="0.3">
      <c r="B12" s="88" t="s">
        <v>11</v>
      </c>
    </row>
    <row r="13" spans="1:5" x14ac:dyDescent="0.25">
      <c r="A13" s="168"/>
      <c r="B13" s="174" t="s">
        <v>4</v>
      </c>
      <c r="C13" s="169">
        <v>2027</v>
      </c>
      <c r="D13" s="169">
        <v>2028</v>
      </c>
      <c r="E13" s="170">
        <v>2029</v>
      </c>
    </row>
    <row r="14" spans="1:5" x14ac:dyDescent="0.25">
      <c r="A14" s="168">
        <v>13140</v>
      </c>
      <c r="B14" s="14" t="s">
        <v>5</v>
      </c>
      <c r="C14" s="15">
        <v>4000</v>
      </c>
      <c r="D14" s="15">
        <v>4000</v>
      </c>
      <c r="E14" s="15">
        <v>4000</v>
      </c>
    </row>
    <row r="15" spans="1:5" x14ac:dyDescent="0.25">
      <c r="A15" s="168">
        <v>13142</v>
      </c>
      <c r="B15" s="14" t="s">
        <v>197</v>
      </c>
      <c r="C15" s="15">
        <v>4000</v>
      </c>
      <c r="D15" s="15">
        <v>4000</v>
      </c>
      <c r="E15" s="15">
        <v>4000</v>
      </c>
    </row>
    <row r="16" spans="1:5" x14ac:dyDescent="0.25">
      <c r="A16" s="168">
        <v>13460</v>
      </c>
      <c r="B16" s="14" t="s">
        <v>7</v>
      </c>
      <c r="C16" s="15">
        <v>33000</v>
      </c>
      <c r="D16" s="15">
        <v>33000</v>
      </c>
      <c r="E16" s="15">
        <v>33000</v>
      </c>
    </row>
    <row r="17" spans="1:5" x14ac:dyDescent="0.25">
      <c r="A17" s="168">
        <v>14310</v>
      </c>
      <c r="B17" s="14" t="s">
        <v>9</v>
      </c>
      <c r="C17" s="15">
        <v>3000</v>
      </c>
      <c r="D17" s="15">
        <v>3000</v>
      </c>
      <c r="E17" s="15">
        <v>3000</v>
      </c>
    </row>
    <row r="18" spans="1:5" ht="16.5" thickBot="1" x14ac:dyDescent="0.3">
      <c r="A18" s="168"/>
      <c r="B18" s="175" t="s">
        <v>10</v>
      </c>
      <c r="C18" s="91">
        <f>SUM(C14:C17)</f>
        <v>44000</v>
      </c>
      <c r="D18" s="91">
        <f>SUM(D14:D17)</f>
        <v>44000</v>
      </c>
      <c r="E18" s="92">
        <f>SUM(E14:E17)</f>
        <v>44000</v>
      </c>
    </row>
    <row r="20" spans="1:5" ht="16.5" thickBot="1" x14ac:dyDescent="0.3">
      <c r="B20" s="88" t="s">
        <v>12</v>
      </c>
    </row>
    <row r="21" spans="1:5" x14ac:dyDescent="0.25">
      <c r="A21" s="168"/>
      <c r="B21" s="174" t="s">
        <v>4</v>
      </c>
      <c r="C21" s="169">
        <v>2027</v>
      </c>
      <c r="D21" s="169">
        <v>2028</v>
      </c>
      <c r="E21" s="170">
        <v>2029</v>
      </c>
    </row>
    <row r="22" spans="1:5" x14ac:dyDescent="0.25">
      <c r="A22" s="168">
        <v>11320</v>
      </c>
      <c r="B22" s="84" t="s">
        <v>6</v>
      </c>
      <c r="C22" s="15">
        <v>27000</v>
      </c>
      <c r="D22" s="15">
        <v>27000</v>
      </c>
      <c r="E22" s="85">
        <v>27000</v>
      </c>
    </row>
    <row r="23" spans="1:5" x14ac:dyDescent="0.25">
      <c r="A23" s="168">
        <v>13460</v>
      </c>
      <c r="B23" s="84" t="s">
        <v>7</v>
      </c>
      <c r="C23" s="15">
        <f>1679395+150000-19585+6000+10000</f>
        <v>1825810</v>
      </c>
      <c r="D23" s="15">
        <f>1679395+150000-19585+6000+10000</f>
        <v>1825810</v>
      </c>
      <c r="E23" s="85">
        <f>1679395+150000-19585+6000+10000</f>
        <v>1825810</v>
      </c>
    </row>
    <row r="24" spans="1:5" x14ac:dyDescent="0.25">
      <c r="A24" s="168"/>
      <c r="B24" s="84" t="s">
        <v>118</v>
      </c>
      <c r="C24" s="15">
        <v>260190</v>
      </c>
      <c r="D24" s="15">
        <v>260190</v>
      </c>
      <c r="E24" s="85">
        <v>260190</v>
      </c>
    </row>
    <row r="25" spans="1:5" x14ac:dyDescent="0.25">
      <c r="A25" s="168">
        <v>13610</v>
      </c>
      <c r="B25" s="84" t="s">
        <v>8</v>
      </c>
      <c r="C25" s="15">
        <v>8000</v>
      </c>
      <c r="D25" s="15">
        <v>8000</v>
      </c>
      <c r="E25" s="85">
        <v>8000</v>
      </c>
    </row>
    <row r="26" spans="1:5" x14ac:dyDescent="0.25">
      <c r="A26" s="168">
        <v>14310</v>
      </c>
      <c r="B26" s="84" t="s">
        <v>9</v>
      </c>
      <c r="C26" s="15">
        <v>3000</v>
      </c>
      <c r="D26" s="15">
        <v>2000</v>
      </c>
      <c r="E26" s="85">
        <v>2000</v>
      </c>
    </row>
    <row r="27" spans="1:5" x14ac:dyDescent="0.25">
      <c r="A27" s="168">
        <v>13330</v>
      </c>
      <c r="B27" s="84" t="s">
        <v>14</v>
      </c>
      <c r="C27" s="15">
        <v>2000</v>
      </c>
      <c r="D27" s="15">
        <v>2000</v>
      </c>
      <c r="E27" s="85">
        <v>2000</v>
      </c>
    </row>
    <row r="28" spans="1:5" x14ac:dyDescent="0.25">
      <c r="A28" s="168">
        <v>13640</v>
      </c>
      <c r="B28" s="84" t="s">
        <v>45</v>
      </c>
      <c r="C28" s="15">
        <v>8000</v>
      </c>
      <c r="D28" s="15">
        <v>8000</v>
      </c>
      <c r="E28" s="85">
        <v>8000</v>
      </c>
    </row>
    <row r="29" spans="1:5" x14ac:dyDescent="0.25">
      <c r="A29" s="168">
        <v>13720</v>
      </c>
      <c r="B29" s="84" t="s">
        <v>15</v>
      </c>
      <c r="C29" s="15">
        <v>60000</v>
      </c>
      <c r="D29" s="15">
        <v>60000</v>
      </c>
      <c r="E29" s="85">
        <v>60000</v>
      </c>
    </row>
    <row r="30" spans="1:5" x14ac:dyDescent="0.25">
      <c r="A30" s="168">
        <v>13780</v>
      </c>
      <c r="B30" s="84" t="s">
        <v>115</v>
      </c>
      <c r="C30" s="15">
        <v>60000</v>
      </c>
      <c r="D30" s="15">
        <v>60000</v>
      </c>
      <c r="E30" s="85">
        <v>60000</v>
      </c>
    </row>
    <row r="31" spans="1:5" x14ac:dyDescent="0.25">
      <c r="A31" s="168">
        <v>13951</v>
      </c>
      <c r="B31" s="84" t="s">
        <v>17</v>
      </c>
      <c r="C31" s="15">
        <v>18000</v>
      </c>
      <c r="D31" s="15">
        <v>18000</v>
      </c>
      <c r="E31" s="85">
        <v>18000</v>
      </c>
    </row>
    <row r="32" spans="1:5" x14ac:dyDescent="0.25">
      <c r="A32" s="168">
        <v>14010</v>
      </c>
      <c r="B32" s="84" t="s">
        <v>18</v>
      </c>
      <c r="C32" s="15">
        <v>33000</v>
      </c>
      <c r="D32" s="15">
        <v>26000</v>
      </c>
      <c r="E32" s="85">
        <v>26000</v>
      </c>
    </row>
    <row r="33" spans="1:5" x14ac:dyDescent="0.25">
      <c r="A33" s="168"/>
      <c r="B33" s="84" t="s">
        <v>116</v>
      </c>
      <c r="C33" s="15">
        <v>6000</v>
      </c>
      <c r="D33" s="15">
        <v>4000</v>
      </c>
      <c r="E33" s="85">
        <v>4000</v>
      </c>
    </row>
    <row r="34" spans="1:5" x14ac:dyDescent="0.25">
      <c r="A34" s="168">
        <v>14020</v>
      </c>
      <c r="B34" s="84" t="s">
        <v>19</v>
      </c>
      <c r="C34" s="15">
        <v>7000</v>
      </c>
      <c r="D34" s="15">
        <v>7000</v>
      </c>
      <c r="E34" s="85">
        <v>7000</v>
      </c>
    </row>
    <row r="35" spans="1:5" ht="16.5" thickBot="1" x14ac:dyDescent="0.3">
      <c r="A35" s="168"/>
      <c r="B35" s="175" t="s">
        <v>10</v>
      </c>
      <c r="C35" s="91">
        <f>SUM(C22:C34)</f>
        <v>2318000</v>
      </c>
      <c r="D35" s="91">
        <f>SUM(D22:D34)</f>
        <v>2308000</v>
      </c>
      <c r="E35" s="92">
        <f>SUM(E22:E34)</f>
        <v>2308000</v>
      </c>
    </row>
    <row r="37" spans="1:5" ht="16.5" thickBot="1" x14ac:dyDescent="0.3">
      <c r="B37" s="88" t="s">
        <v>20</v>
      </c>
    </row>
    <row r="38" spans="1:5" x14ac:dyDescent="0.25">
      <c r="A38" s="168"/>
      <c r="B38" s="174" t="s">
        <v>4</v>
      </c>
      <c r="C38" s="169">
        <v>2027</v>
      </c>
      <c r="D38" s="169">
        <v>2028</v>
      </c>
      <c r="E38" s="170">
        <v>2029</v>
      </c>
    </row>
    <row r="39" spans="1:5" x14ac:dyDescent="0.25">
      <c r="A39" s="168">
        <v>13140</v>
      </c>
      <c r="B39" s="84" t="s">
        <v>5</v>
      </c>
      <c r="C39" s="15">
        <v>1000</v>
      </c>
      <c r="D39" s="15">
        <v>1000</v>
      </c>
      <c r="E39" s="85">
        <v>1000</v>
      </c>
    </row>
    <row r="40" spans="1:5" x14ac:dyDescent="0.25">
      <c r="A40" s="168">
        <v>14310</v>
      </c>
      <c r="B40" s="84" t="s">
        <v>9</v>
      </c>
      <c r="C40" s="15">
        <v>1800</v>
      </c>
      <c r="D40" s="15">
        <v>1800</v>
      </c>
      <c r="E40" s="85">
        <v>1800</v>
      </c>
    </row>
    <row r="41" spans="1:5" ht="16.5" thickBot="1" x14ac:dyDescent="0.3">
      <c r="A41" s="168"/>
      <c r="B41" s="175" t="s">
        <v>10</v>
      </c>
      <c r="C41" s="91">
        <f>SUM(C39:C40)</f>
        <v>2800</v>
      </c>
      <c r="D41" s="91">
        <f>SUM(D39:D40)</f>
        <v>2800</v>
      </c>
      <c r="E41" s="92">
        <f>SUM(E39:E40)</f>
        <v>2800</v>
      </c>
    </row>
    <row r="42" spans="1:5" x14ac:dyDescent="0.25">
      <c r="C42" s="16"/>
      <c r="D42" s="16"/>
      <c r="E42" s="16"/>
    </row>
    <row r="43" spans="1:5" x14ac:dyDescent="0.25">
      <c r="C43" s="16"/>
      <c r="D43" s="16"/>
      <c r="E43" s="16"/>
    </row>
    <row r="45" spans="1:5" ht="16.5" thickBot="1" x14ac:dyDescent="0.3">
      <c r="B45" s="88" t="s">
        <v>21</v>
      </c>
    </row>
    <row r="46" spans="1:5" x14ac:dyDescent="0.25">
      <c r="A46" s="168"/>
      <c r="B46" s="174" t="s">
        <v>4</v>
      </c>
      <c r="C46" s="169">
        <v>2027</v>
      </c>
      <c r="D46" s="169">
        <v>2028</v>
      </c>
      <c r="E46" s="170">
        <v>2029</v>
      </c>
    </row>
    <row r="47" spans="1:5" x14ac:dyDescent="0.25">
      <c r="A47" s="168">
        <v>13460</v>
      </c>
      <c r="B47" s="84" t="s">
        <v>7</v>
      </c>
      <c r="C47" s="17">
        <v>5000</v>
      </c>
      <c r="D47" s="17">
        <v>7000</v>
      </c>
      <c r="E47" s="176">
        <v>7000</v>
      </c>
    </row>
    <row r="48" spans="1:5" x14ac:dyDescent="0.25">
      <c r="A48" s="168">
        <v>13610</v>
      </c>
      <c r="B48" s="84" t="s">
        <v>8</v>
      </c>
      <c r="C48" s="17">
        <v>500</v>
      </c>
      <c r="D48" s="17">
        <v>500</v>
      </c>
      <c r="E48" s="176">
        <v>500</v>
      </c>
    </row>
    <row r="49" spans="1:5" x14ac:dyDescent="0.25">
      <c r="A49" s="168">
        <v>14310</v>
      </c>
      <c r="B49" s="84" t="s">
        <v>9</v>
      </c>
      <c r="C49" s="17">
        <v>2500</v>
      </c>
      <c r="D49" s="17">
        <v>3500</v>
      </c>
      <c r="E49" s="176">
        <v>3500</v>
      </c>
    </row>
    <row r="50" spans="1:5" ht="16.5" thickBot="1" x14ac:dyDescent="0.3">
      <c r="A50" s="168"/>
      <c r="B50" s="175" t="s">
        <v>10</v>
      </c>
      <c r="C50" s="177">
        <f>SUM(C47:C49)</f>
        <v>8000</v>
      </c>
      <c r="D50" s="177">
        <f>SUM(D47:D49)</f>
        <v>11000</v>
      </c>
      <c r="E50" s="178">
        <f>SUM(E47:E49)</f>
        <v>11000</v>
      </c>
    </row>
    <row r="52" spans="1:5" ht="16.5" thickBot="1" x14ac:dyDescent="0.3">
      <c r="B52" s="88" t="s">
        <v>22</v>
      </c>
    </row>
    <row r="53" spans="1:5" x14ac:dyDescent="0.25">
      <c r="A53" s="168"/>
      <c r="B53" s="174" t="s">
        <v>4</v>
      </c>
      <c r="C53" s="169">
        <v>2027</v>
      </c>
      <c r="D53" s="169">
        <v>2028</v>
      </c>
      <c r="E53" s="170">
        <v>2029</v>
      </c>
    </row>
    <row r="54" spans="1:5" x14ac:dyDescent="0.25">
      <c r="A54" s="168">
        <v>13460</v>
      </c>
      <c r="B54" s="84" t="s">
        <v>7</v>
      </c>
      <c r="C54" s="15">
        <v>71000</v>
      </c>
      <c r="D54" s="15">
        <v>71000</v>
      </c>
      <c r="E54" s="85">
        <v>71000</v>
      </c>
    </row>
    <row r="55" spans="1:5" x14ac:dyDescent="0.25">
      <c r="A55" s="168"/>
      <c r="B55" s="84" t="s">
        <v>8</v>
      </c>
      <c r="C55" s="15">
        <v>1000</v>
      </c>
      <c r="D55" s="15">
        <v>1000</v>
      </c>
      <c r="E55" s="85">
        <v>1000</v>
      </c>
    </row>
    <row r="56" spans="1:5" x14ac:dyDescent="0.25">
      <c r="A56" s="168">
        <v>14310</v>
      </c>
      <c r="B56" s="84" t="s">
        <v>9</v>
      </c>
      <c r="C56" s="15">
        <v>1000</v>
      </c>
      <c r="D56" s="15">
        <v>1000</v>
      </c>
      <c r="E56" s="85">
        <v>1000</v>
      </c>
    </row>
    <row r="57" spans="1:5" x14ac:dyDescent="0.25">
      <c r="A57" s="168">
        <v>13681</v>
      </c>
      <c r="B57" s="84" t="s">
        <v>23</v>
      </c>
      <c r="C57" s="15">
        <v>1000</v>
      </c>
      <c r="D57" s="15">
        <v>1000</v>
      </c>
      <c r="E57" s="85">
        <v>1000</v>
      </c>
    </row>
    <row r="58" spans="1:5" ht="16.5" thickBot="1" x14ac:dyDescent="0.3">
      <c r="A58" s="168"/>
      <c r="B58" s="175" t="s">
        <v>10</v>
      </c>
      <c r="C58" s="91">
        <f>SUM(C54:C57)</f>
        <v>74000</v>
      </c>
      <c r="D58" s="91">
        <f>SUM(D54:D57)</f>
        <v>74000</v>
      </c>
      <c r="E58" s="92">
        <f>SUM(E54:E57)</f>
        <v>74000</v>
      </c>
    </row>
    <row r="61" spans="1:5" ht="16.5" thickBot="1" x14ac:dyDescent="0.3">
      <c r="B61" s="88" t="s">
        <v>2</v>
      </c>
    </row>
    <row r="62" spans="1:5" x14ac:dyDescent="0.25">
      <c r="A62" s="168"/>
      <c r="B62" s="174" t="s">
        <v>4</v>
      </c>
      <c r="C62" s="169">
        <v>2027</v>
      </c>
      <c r="D62" s="169">
        <v>2028</v>
      </c>
      <c r="E62" s="170">
        <v>2029</v>
      </c>
    </row>
    <row r="63" spans="1:5" x14ac:dyDescent="0.25">
      <c r="A63" s="168">
        <v>13330</v>
      </c>
      <c r="B63" s="84" t="s">
        <v>47</v>
      </c>
      <c r="C63" s="15">
        <v>25000</v>
      </c>
      <c r="D63" s="15">
        <v>25000</v>
      </c>
      <c r="E63" s="85">
        <v>25000</v>
      </c>
    </row>
    <row r="64" spans="1:5" x14ac:dyDescent="0.25">
      <c r="A64" s="168"/>
      <c r="B64" s="84" t="s">
        <v>103</v>
      </c>
      <c r="C64" s="15">
        <v>3000</v>
      </c>
      <c r="D64" s="15">
        <v>3000</v>
      </c>
      <c r="E64" s="85">
        <v>3000</v>
      </c>
    </row>
    <row r="65" spans="1:5" x14ac:dyDescent="0.25">
      <c r="A65" s="168"/>
      <c r="B65" s="84" t="s">
        <v>129</v>
      </c>
      <c r="C65" s="15">
        <f>3000+3000</f>
        <v>6000</v>
      </c>
      <c r="D65" s="15">
        <v>3000</v>
      </c>
      <c r="E65" s="85">
        <v>3000</v>
      </c>
    </row>
    <row r="66" spans="1:5" x14ac:dyDescent="0.25">
      <c r="A66" s="168">
        <v>13480</v>
      </c>
      <c r="B66" s="84" t="s">
        <v>25</v>
      </c>
      <c r="C66" s="15">
        <v>15000</v>
      </c>
      <c r="D66" s="15">
        <v>18000</v>
      </c>
      <c r="E66" s="85">
        <v>18000</v>
      </c>
    </row>
    <row r="67" spans="1:5" ht="16.5" thickBot="1" x14ac:dyDescent="0.3">
      <c r="A67" s="168"/>
      <c r="B67" s="175" t="s">
        <v>10</v>
      </c>
      <c r="C67" s="91">
        <f>SUM(C63:C66)</f>
        <v>49000</v>
      </c>
      <c r="D67" s="91">
        <f>SUM(D63:D66)</f>
        <v>49000</v>
      </c>
      <c r="E67" s="92">
        <f>SUM(E63:E66)</f>
        <v>49000</v>
      </c>
    </row>
    <row r="69" spans="1:5" ht="16.5" thickBot="1" x14ac:dyDescent="0.3">
      <c r="B69" s="88" t="s">
        <v>26</v>
      </c>
    </row>
    <row r="70" spans="1:5" x14ac:dyDescent="0.25">
      <c r="A70" s="168"/>
      <c r="B70" s="174" t="s">
        <v>4</v>
      </c>
      <c r="C70" s="169">
        <v>2027</v>
      </c>
      <c r="D70" s="169">
        <v>2028</v>
      </c>
      <c r="E70" s="170">
        <v>2029</v>
      </c>
    </row>
    <row r="71" spans="1:5" x14ac:dyDescent="0.25">
      <c r="A71" s="168"/>
      <c r="B71" s="84" t="s">
        <v>101</v>
      </c>
      <c r="C71" s="15">
        <v>4000</v>
      </c>
      <c r="D71" s="15">
        <v>7000</v>
      </c>
      <c r="E71" s="85">
        <v>7000</v>
      </c>
    </row>
    <row r="72" spans="1:5" x14ac:dyDescent="0.25">
      <c r="A72" s="168">
        <v>13140</v>
      </c>
      <c r="B72" s="84" t="s">
        <v>68</v>
      </c>
      <c r="C72" s="15">
        <v>2500</v>
      </c>
      <c r="D72" s="15">
        <v>2500</v>
      </c>
      <c r="E72" s="85">
        <v>2500</v>
      </c>
    </row>
    <row r="73" spans="1:5" ht="16.5" thickBot="1" x14ac:dyDescent="0.3">
      <c r="A73" s="168"/>
      <c r="B73" s="175" t="s">
        <v>10</v>
      </c>
      <c r="C73" s="91">
        <f>SUM(C71:C72)</f>
        <v>6500</v>
      </c>
      <c r="D73" s="91">
        <f>SUM(D71:D72)</f>
        <v>9500</v>
      </c>
      <c r="E73" s="92">
        <f>SUM(E71:E72)</f>
        <v>9500</v>
      </c>
    </row>
    <row r="74" spans="1:5" x14ac:dyDescent="0.25">
      <c r="B74" s="13"/>
    </row>
    <row r="75" spans="1:5" ht="16.5" thickBot="1" x14ac:dyDescent="0.3">
      <c r="B75" s="88" t="s">
        <v>27</v>
      </c>
    </row>
    <row r="76" spans="1:5" x14ac:dyDescent="0.25">
      <c r="A76" s="168"/>
      <c r="B76" s="174" t="s">
        <v>4</v>
      </c>
      <c r="C76" s="169">
        <v>2027</v>
      </c>
      <c r="D76" s="169">
        <v>2028</v>
      </c>
      <c r="E76" s="170">
        <v>2029</v>
      </c>
    </row>
    <row r="77" spans="1:5" x14ac:dyDescent="0.25">
      <c r="A77" s="168">
        <v>13460</v>
      </c>
      <c r="B77" s="84" t="s">
        <v>70</v>
      </c>
      <c r="C77" s="18">
        <f>104000-50000</f>
        <v>54000</v>
      </c>
      <c r="D77" s="18">
        <f>110000-50000</f>
        <v>60000</v>
      </c>
      <c r="E77" s="171">
        <f>110000-50000</f>
        <v>60000</v>
      </c>
    </row>
    <row r="78" spans="1:5" x14ac:dyDescent="0.25">
      <c r="A78" s="168"/>
      <c r="B78" s="84" t="s">
        <v>117</v>
      </c>
      <c r="C78" s="18">
        <v>46800</v>
      </c>
      <c r="D78" s="18">
        <v>46800</v>
      </c>
      <c r="E78" s="171">
        <v>46800</v>
      </c>
    </row>
    <row r="79" spans="1:5" x14ac:dyDescent="0.25">
      <c r="A79" s="168">
        <v>14310</v>
      </c>
      <c r="B79" s="84" t="s">
        <v>9</v>
      </c>
      <c r="C79" s="18">
        <v>1000</v>
      </c>
      <c r="D79" s="18">
        <v>1000</v>
      </c>
      <c r="E79" s="171">
        <v>1000</v>
      </c>
    </row>
    <row r="80" spans="1:5" x14ac:dyDescent="0.25">
      <c r="A80" s="168"/>
      <c r="B80" t="s">
        <v>281</v>
      </c>
      <c r="C80" s="18">
        <v>520000</v>
      </c>
      <c r="D80" s="18">
        <v>520000</v>
      </c>
      <c r="E80" s="171">
        <v>610000</v>
      </c>
    </row>
    <row r="81" spans="1:9" x14ac:dyDescent="0.25">
      <c r="A81" s="168">
        <v>14030</v>
      </c>
      <c r="B81" s="84" t="s">
        <v>283</v>
      </c>
      <c r="C81" s="18">
        <v>100000</v>
      </c>
      <c r="D81" s="18">
        <v>100000</v>
      </c>
      <c r="E81" s="171">
        <v>100000</v>
      </c>
    </row>
    <row r="82" spans="1:9" x14ac:dyDescent="0.25">
      <c r="A82" s="168">
        <v>14030</v>
      </c>
      <c r="B82" s="84" t="s">
        <v>77</v>
      </c>
      <c r="C82" s="18">
        <v>40000</v>
      </c>
      <c r="D82" s="18">
        <v>40000</v>
      </c>
      <c r="E82" s="171">
        <v>25000</v>
      </c>
    </row>
    <row r="83" spans="1:9" x14ac:dyDescent="0.25">
      <c r="A83" s="168">
        <v>14030</v>
      </c>
      <c r="B83" t="s">
        <v>282</v>
      </c>
      <c r="C83" s="18">
        <v>200000</v>
      </c>
      <c r="D83" s="18">
        <v>200000</v>
      </c>
      <c r="E83" s="171">
        <v>125000</v>
      </c>
    </row>
    <row r="84" spans="1:9" ht="16.5" thickBot="1" x14ac:dyDescent="0.3">
      <c r="A84" s="168"/>
      <c r="B84" s="175" t="s">
        <v>10</v>
      </c>
      <c r="C84" s="172">
        <f>SUM(C77:C83)</f>
        <v>961800</v>
      </c>
      <c r="D84" s="172">
        <f>SUM(D77:D83)</f>
        <v>967800</v>
      </c>
      <c r="E84" s="173">
        <f>SUM(E77:E83)</f>
        <v>967800</v>
      </c>
    </row>
    <row r="85" spans="1:9" x14ac:dyDescent="0.25">
      <c r="B85" s="13"/>
      <c r="C85" s="19"/>
      <c r="D85" s="19"/>
      <c r="E85" s="19"/>
      <c r="G85" s="295"/>
      <c r="H85" s="295"/>
      <c r="I85" s="295"/>
    </row>
    <row r="86" spans="1:9" ht="16.5" thickBot="1" x14ac:dyDescent="0.3">
      <c r="B86" s="88" t="s">
        <v>28</v>
      </c>
      <c r="H86" s="295"/>
    </row>
    <row r="87" spans="1:9" x14ac:dyDescent="0.25">
      <c r="A87" s="168"/>
      <c r="B87" s="174" t="s">
        <v>4</v>
      </c>
      <c r="C87" s="169">
        <v>2027</v>
      </c>
      <c r="D87" s="169">
        <v>2028</v>
      </c>
      <c r="E87" s="170">
        <v>2029</v>
      </c>
    </row>
    <row r="88" spans="1:9" x14ac:dyDescent="0.25">
      <c r="A88" s="168">
        <v>13460</v>
      </c>
      <c r="B88" s="84" t="s">
        <v>7</v>
      </c>
      <c r="C88" s="15">
        <v>4500</v>
      </c>
      <c r="D88" s="15">
        <v>4500</v>
      </c>
      <c r="E88" s="85">
        <v>4500</v>
      </c>
    </row>
    <row r="89" spans="1:9" x14ac:dyDescent="0.25">
      <c r="A89" s="168">
        <v>14310</v>
      </c>
      <c r="B89" s="84" t="s">
        <v>9</v>
      </c>
      <c r="C89" s="15">
        <v>1500</v>
      </c>
      <c r="D89" s="15">
        <v>1500</v>
      </c>
      <c r="E89" s="85">
        <v>1500</v>
      </c>
    </row>
    <row r="90" spans="1:9" x14ac:dyDescent="0.25">
      <c r="A90" s="168">
        <v>13780</v>
      </c>
      <c r="B90" s="84" t="s">
        <v>16</v>
      </c>
      <c r="C90" s="15">
        <v>14500</v>
      </c>
      <c r="D90" s="15">
        <v>14500</v>
      </c>
      <c r="E90" s="15">
        <v>14500</v>
      </c>
    </row>
    <row r="91" spans="1:9" x14ac:dyDescent="0.25">
      <c r="A91" s="168">
        <v>13951</v>
      </c>
      <c r="B91" s="84" t="s">
        <v>17</v>
      </c>
      <c r="C91" s="15">
        <v>6500</v>
      </c>
      <c r="D91" s="15">
        <v>6500</v>
      </c>
      <c r="E91" s="85">
        <v>6500</v>
      </c>
    </row>
    <row r="92" spans="1:9" x14ac:dyDescent="0.25">
      <c r="A92" s="168">
        <v>14010</v>
      </c>
      <c r="B92" s="84" t="s">
        <v>18</v>
      </c>
      <c r="C92" s="15">
        <v>16500</v>
      </c>
      <c r="D92" s="15">
        <v>16500</v>
      </c>
      <c r="E92" s="15">
        <v>16500</v>
      </c>
      <c r="G92" s="2"/>
    </row>
    <row r="93" spans="1:9" ht="16.5" thickBot="1" x14ac:dyDescent="0.3">
      <c r="A93" s="168"/>
      <c r="B93" s="175" t="s">
        <v>10</v>
      </c>
      <c r="C93" s="91">
        <f>SUM(C88:C92)</f>
        <v>43500</v>
      </c>
      <c r="D93" s="91">
        <f>SUM(D88:D92)</f>
        <v>43500</v>
      </c>
      <c r="E93" s="92">
        <f>SUM(E88:E92)</f>
        <v>43500</v>
      </c>
    </row>
    <row r="95" spans="1:9" ht="16.5" thickBot="1" x14ac:dyDescent="0.3">
      <c r="B95" s="88" t="s">
        <v>29</v>
      </c>
    </row>
    <row r="96" spans="1:9" x14ac:dyDescent="0.25">
      <c r="A96" s="168"/>
      <c r="B96" s="174" t="s">
        <v>4</v>
      </c>
      <c r="C96" s="169">
        <v>2027</v>
      </c>
      <c r="D96" s="169">
        <v>2028</v>
      </c>
      <c r="E96" s="170">
        <v>2029</v>
      </c>
    </row>
    <row r="97" spans="1:5" x14ac:dyDescent="0.25">
      <c r="A97" s="168">
        <v>13460</v>
      </c>
      <c r="B97" s="84" t="s">
        <v>7</v>
      </c>
      <c r="C97" s="15">
        <v>71000</v>
      </c>
      <c r="D97" s="15">
        <v>71000</v>
      </c>
      <c r="E97" s="85">
        <v>71000</v>
      </c>
    </row>
    <row r="98" spans="1:5" x14ac:dyDescent="0.25">
      <c r="A98" s="168">
        <v>14310</v>
      </c>
      <c r="B98" s="84" t="s">
        <v>9</v>
      </c>
      <c r="C98" s="15">
        <v>1000</v>
      </c>
      <c r="D98" s="15">
        <v>1000</v>
      </c>
      <c r="E98" s="85">
        <v>1000</v>
      </c>
    </row>
    <row r="99" spans="1:5" ht="16.5" thickBot="1" x14ac:dyDescent="0.3">
      <c r="A99" s="168"/>
      <c r="B99" s="175" t="s">
        <v>10</v>
      </c>
      <c r="C99" s="91">
        <f>SUM(C97:C98)</f>
        <v>72000</v>
      </c>
      <c r="D99" s="91">
        <f>SUM(D97:D98)</f>
        <v>72000</v>
      </c>
      <c r="E99" s="92">
        <f>SUM(E97:E98)</f>
        <v>72000</v>
      </c>
    </row>
    <row r="101" spans="1:5" ht="16.5" thickBot="1" x14ac:dyDescent="0.3">
      <c r="B101" s="88" t="s">
        <v>3</v>
      </c>
    </row>
    <row r="102" spans="1:5" x14ac:dyDescent="0.25">
      <c r="A102" s="168"/>
      <c r="B102" s="174" t="s">
        <v>4</v>
      </c>
      <c r="C102" s="169">
        <v>2027</v>
      </c>
      <c r="D102" s="169">
        <v>2028</v>
      </c>
      <c r="E102" s="170">
        <v>2029</v>
      </c>
    </row>
    <row r="103" spans="1:5" x14ac:dyDescent="0.25">
      <c r="A103" s="168">
        <v>13140</v>
      </c>
      <c r="B103" s="84" t="s">
        <v>5</v>
      </c>
      <c r="C103" s="15">
        <v>5000</v>
      </c>
      <c r="D103" s="15">
        <v>5000</v>
      </c>
      <c r="E103" s="85">
        <v>5000</v>
      </c>
    </row>
    <row r="104" spans="1:5" x14ac:dyDescent="0.25">
      <c r="A104" s="168">
        <v>13460</v>
      </c>
      <c r="B104" s="84" t="s">
        <v>119</v>
      </c>
      <c r="C104" s="15">
        <v>6000</v>
      </c>
      <c r="D104" s="15">
        <v>6000</v>
      </c>
      <c r="E104" s="85">
        <v>6000</v>
      </c>
    </row>
    <row r="105" spans="1:5" x14ac:dyDescent="0.25">
      <c r="A105" s="168"/>
      <c r="B105" s="84" t="s">
        <v>7</v>
      </c>
      <c r="C105" s="15">
        <v>5000</v>
      </c>
      <c r="D105" s="15">
        <v>5000</v>
      </c>
      <c r="E105" s="85">
        <v>5000</v>
      </c>
    </row>
    <row r="106" spans="1:5" x14ac:dyDescent="0.25">
      <c r="A106" s="168">
        <v>14310</v>
      </c>
      <c r="B106" s="84" t="s">
        <v>9</v>
      </c>
      <c r="C106" s="15">
        <v>2000</v>
      </c>
      <c r="D106" s="15">
        <v>2000</v>
      </c>
      <c r="E106" s="85">
        <v>2000</v>
      </c>
    </row>
    <row r="107" spans="1:5" ht="16.5" thickBot="1" x14ac:dyDescent="0.3">
      <c r="A107" s="168"/>
      <c r="B107" s="175" t="s">
        <v>10</v>
      </c>
      <c r="C107" s="91">
        <f>SUM(C103:C106)</f>
        <v>18000</v>
      </c>
      <c r="D107" s="91">
        <f>SUM(D103:D106)</f>
        <v>18000</v>
      </c>
      <c r="E107" s="92">
        <f>SUM(E103:E106)</f>
        <v>18000</v>
      </c>
    </row>
    <row r="109" spans="1:5" ht="16.5" thickBot="1" x14ac:dyDescent="0.3">
      <c r="B109" s="88" t="s">
        <v>30</v>
      </c>
    </row>
    <row r="110" spans="1:5" x14ac:dyDescent="0.25">
      <c r="A110" s="168"/>
      <c r="B110" s="174" t="s">
        <v>4</v>
      </c>
      <c r="C110" s="169">
        <v>2027</v>
      </c>
      <c r="D110" s="169">
        <v>2028</v>
      </c>
      <c r="E110" s="170">
        <v>2029</v>
      </c>
    </row>
    <row r="111" spans="1:5" x14ac:dyDescent="0.25">
      <c r="A111" s="168">
        <v>13460</v>
      </c>
      <c r="B111" s="84" t="s">
        <v>7</v>
      </c>
      <c r="C111" s="15">
        <v>1000</v>
      </c>
      <c r="D111" s="15">
        <v>1000</v>
      </c>
      <c r="E111" s="85">
        <v>1000</v>
      </c>
    </row>
    <row r="112" spans="1:5" x14ac:dyDescent="0.25">
      <c r="A112" s="168">
        <v>14310</v>
      </c>
      <c r="B112" s="84" t="s">
        <v>9</v>
      </c>
      <c r="C112" s="15">
        <v>2000</v>
      </c>
      <c r="D112" s="15">
        <v>2000</v>
      </c>
      <c r="E112" s="85">
        <v>2000</v>
      </c>
    </row>
    <row r="113" spans="1:5" ht="16.5" thickBot="1" x14ac:dyDescent="0.3">
      <c r="A113" s="168"/>
      <c r="B113" s="175" t="s">
        <v>10</v>
      </c>
      <c r="C113" s="91">
        <f>SUM(C111:C112)</f>
        <v>3000</v>
      </c>
      <c r="D113" s="91">
        <f>SUM(D111:D112)</f>
        <v>3000</v>
      </c>
      <c r="E113" s="92">
        <f>SUM(E111:E112)</f>
        <v>3000</v>
      </c>
    </row>
    <row r="115" spans="1:5" ht="16.5" thickBot="1" x14ac:dyDescent="0.3">
      <c r="B115" s="88" t="s">
        <v>31</v>
      </c>
    </row>
    <row r="116" spans="1:5" x14ac:dyDescent="0.25">
      <c r="A116" s="168"/>
      <c r="B116" s="174" t="s">
        <v>4</v>
      </c>
      <c r="C116" s="169">
        <v>2027</v>
      </c>
      <c r="D116" s="169">
        <v>2028</v>
      </c>
      <c r="E116" s="170">
        <v>2029</v>
      </c>
    </row>
    <row r="117" spans="1:5" x14ac:dyDescent="0.25">
      <c r="A117" s="168">
        <v>13460</v>
      </c>
      <c r="B117" s="84" t="s">
        <v>7</v>
      </c>
      <c r="C117" s="15">
        <v>1500</v>
      </c>
      <c r="D117" s="15">
        <v>1500</v>
      </c>
      <c r="E117" s="85">
        <v>1500</v>
      </c>
    </row>
    <row r="118" spans="1:5" x14ac:dyDescent="0.25">
      <c r="A118" s="168">
        <v>14310</v>
      </c>
      <c r="B118" s="84" t="s">
        <v>9</v>
      </c>
      <c r="C118" s="15">
        <v>1500</v>
      </c>
      <c r="D118" s="15">
        <v>1500</v>
      </c>
      <c r="E118" s="85">
        <v>1500</v>
      </c>
    </row>
    <row r="119" spans="1:5" ht="16.5" thickBot="1" x14ac:dyDescent="0.3">
      <c r="A119" s="168"/>
      <c r="B119" s="175" t="s">
        <v>10</v>
      </c>
      <c r="C119" s="91">
        <f>SUM(C117:C118)</f>
        <v>3000</v>
      </c>
      <c r="D119" s="91">
        <f>SUM(D117:D118)</f>
        <v>3000</v>
      </c>
      <c r="E119" s="92">
        <f>SUM(E117:E118)</f>
        <v>3000</v>
      </c>
    </row>
    <row r="121" spans="1:5" ht="16.5" thickBot="1" x14ac:dyDescent="0.3">
      <c r="B121" s="88" t="s">
        <v>32</v>
      </c>
    </row>
    <row r="122" spans="1:5" x14ac:dyDescent="0.25">
      <c r="A122" s="168"/>
      <c r="B122" s="174" t="s">
        <v>4</v>
      </c>
      <c r="C122" s="169">
        <v>2027</v>
      </c>
      <c r="D122" s="169">
        <v>2028</v>
      </c>
      <c r="E122" s="170">
        <v>2029</v>
      </c>
    </row>
    <row r="123" spans="1:5" x14ac:dyDescent="0.25">
      <c r="A123" s="168">
        <v>13460</v>
      </c>
      <c r="B123" s="84" t="s">
        <v>73</v>
      </c>
      <c r="C123" s="15">
        <v>7000</v>
      </c>
      <c r="D123" s="15">
        <v>7000</v>
      </c>
      <c r="E123" s="85">
        <v>7000</v>
      </c>
    </row>
    <row r="124" spans="1:5" x14ac:dyDescent="0.25">
      <c r="A124" s="168">
        <v>13140</v>
      </c>
      <c r="B124" s="84" t="s">
        <v>68</v>
      </c>
      <c r="C124" s="15">
        <v>7000</v>
      </c>
      <c r="D124" s="15">
        <v>7000</v>
      </c>
      <c r="E124" s="85">
        <v>7000</v>
      </c>
    </row>
    <row r="125" spans="1:5" x14ac:dyDescent="0.25">
      <c r="A125" s="168">
        <v>14310</v>
      </c>
      <c r="B125" s="84" t="s">
        <v>9</v>
      </c>
      <c r="C125" s="15">
        <v>2000</v>
      </c>
      <c r="D125" s="15">
        <v>2000</v>
      </c>
      <c r="E125" s="85">
        <v>2000</v>
      </c>
    </row>
    <row r="126" spans="1:5" ht="16.5" thickBot="1" x14ac:dyDescent="0.3">
      <c r="A126" s="168"/>
      <c r="B126" s="175" t="s">
        <v>10</v>
      </c>
      <c r="C126" s="91">
        <f>SUM(C123:C125)</f>
        <v>16000</v>
      </c>
      <c r="D126" s="91">
        <f>SUM(D123:D125)</f>
        <v>16000</v>
      </c>
      <c r="E126" s="92">
        <f>SUM(E123:E125)</f>
        <v>16000</v>
      </c>
    </row>
    <row r="127" spans="1:5" x14ac:dyDescent="0.25">
      <c r="C127" s="16"/>
      <c r="D127" s="16"/>
      <c r="E127" s="16"/>
    </row>
    <row r="128" spans="1:5" ht="16.5" thickBot="1" x14ac:dyDescent="0.3">
      <c r="B128" s="88" t="s">
        <v>33</v>
      </c>
    </row>
    <row r="129" spans="1:5" x14ac:dyDescent="0.25">
      <c r="A129" s="168"/>
      <c r="B129" s="174" t="s">
        <v>4</v>
      </c>
      <c r="C129" s="169">
        <v>2027</v>
      </c>
      <c r="D129" s="169">
        <v>2028</v>
      </c>
      <c r="E129" s="170">
        <v>2029</v>
      </c>
    </row>
    <row r="130" spans="1:5" x14ac:dyDescent="0.25">
      <c r="A130" s="168">
        <v>13460</v>
      </c>
      <c r="B130" s="84" t="s">
        <v>7</v>
      </c>
      <c r="C130" s="15">
        <v>1000</v>
      </c>
      <c r="D130" s="15">
        <v>1000</v>
      </c>
      <c r="E130" s="85">
        <v>1000</v>
      </c>
    </row>
    <row r="131" spans="1:5" x14ac:dyDescent="0.25">
      <c r="A131" s="168">
        <v>14310</v>
      </c>
      <c r="B131" s="84" t="s">
        <v>9</v>
      </c>
      <c r="C131" s="15">
        <v>1000</v>
      </c>
      <c r="D131" s="15">
        <v>1000</v>
      </c>
      <c r="E131" s="85">
        <v>1000</v>
      </c>
    </row>
    <row r="132" spans="1:5" ht="16.5" thickBot="1" x14ac:dyDescent="0.3">
      <c r="A132" s="168"/>
      <c r="B132" s="175" t="s">
        <v>10</v>
      </c>
      <c r="C132" s="91">
        <f>SUM(C130:C131)</f>
        <v>2000</v>
      </c>
      <c r="D132" s="91">
        <f>SUM(D130:D131)</f>
        <v>2000</v>
      </c>
      <c r="E132" s="92">
        <f>SUM(E130:E131)</f>
        <v>2000</v>
      </c>
    </row>
    <row r="133" spans="1:5" x14ac:dyDescent="0.25">
      <c r="C133" s="16"/>
      <c r="D133" s="16"/>
      <c r="E133" s="16"/>
    </row>
    <row r="134" spans="1:5" ht="16.5" thickBot="1" x14ac:dyDescent="0.3">
      <c r="B134" s="88" t="s">
        <v>34</v>
      </c>
    </row>
    <row r="135" spans="1:5" x14ac:dyDescent="0.25">
      <c r="A135" s="168"/>
      <c r="B135" s="174" t="s">
        <v>4</v>
      </c>
      <c r="C135" s="169">
        <v>2027</v>
      </c>
      <c r="D135" s="169">
        <v>2028</v>
      </c>
      <c r="E135" s="170">
        <v>2029</v>
      </c>
    </row>
    <row r="136" spans="1:5" x14ac:dyDescent="0.25">
      <c r="A136" s="168">
        <v>13460</v>
      </c>
      <c r="B136" s="84" t="s">
        <v>7</v>
      </c>
      <c r="C136" s="15">
        <f>147790-10000-10000</f>
        <v>127790</v>
      </c>
      <c r="D136" s="15">
        <f t="shared" ref="D136:E136" si="0">147790-10000-10000</f>
        <v>127790</v>
      </c>
      <c r="E136" s="85">
        <f t="shared" si="0"/>
        <v>127790</v>
      </c>
    </row>
    <row r="137" spans="1:5" x14ac:dyDescent="0.25">
      <c r="A137" s="168">
        <v>13610</v>
      </c>
      <c r="B137" s="84" t="s">
        <v>8</v>
      </c>
      <c r="C137" s="15">
        <v>10000</v>
      </c>
      <c r="D137" s="15">
        <v>10000</v>
      </c>
      <c r="E137" s="85">
        <v>10000</v>
      </c>
    </row>
    <row r="138" spans="1:5" x14ac:dyDescent="0.25">
      <c r="A138" s="168">
        <v>13640</v>
      </c>
      <c r="B138" s="84" t="s">
        <v>45</v>
      </c>
      <c r="C138" s="15">
        <v>14000</v>
      </c>
      <c r="D138" s="15">
        <v>14000</v>
      </c>
      <c r="E138" s="85">
        <v>14000</v>
      </c>
    </row>
    <row r="139" spans="1:5" x14ac:dyDescent="0.25">
      <c r="A139" s="168">
        <v>14310</v>
      </c>
      <c r="B139" s="84" t="s">
        <v>9</v>
      </c>
      <c r="C139" s="15">
        <v>3000</v>
      </c>
      <c r="D139" s="15">
        <v>3000</v>
      </c>
      <c r="E139" s="85">
        <v>3000</v>
      </c>
    </row>
    <row r="140" spans="1:5" x14ac:dyDescent="0.25">
      <c r="A140" s="168">
        <v>13630</v>
      </c>
      <c r="B140" s="84" t="s">
        <v>35</v>
      </c>
      <c r="C140" s="15">
        <v>85000</v>
      </c>
      <c r="D140" s="15">
        <v>85000</v>
      </c>
      <c r="E140" s="85">
        <v>85000</v>
      </c>
    </row>
    <row r="141" spans="1:5" x14ac:dyDescent="0.25">
      <c r="A141" s="168">
        <v>13650</v>
      </c>
      <c r="B141" s="84" t="s">
        <v>36</v>
      </c>
      <c r="C141" s="15">
        <v>8000</v>
      </c>
      <c r="D141" s="15">
        <v>8000</v>
      </c>
      <c r="E141" s="85">
        <v>8000</v>
      </c>
    </row>
    <row r="142" spans="1:5" x14ac:dyDescent="0.25">
      <c r="A142" s="168">
        <v>13760</v>
      </c>
      <c r="B142" s="84" t="s">
        <v>120</v>
      </c>
      <c r="C142" s="15">
        <f>10000+8000</f>
        <v>18000</v>
      </c>
      <c r="D142" s="15">
        <f t="shared" ref="D142:E142" si="1">10000+8000</f>
        <v>18000</v>
      </c>
      <c r="E142" s="15">
        <f t="shared" si="1"/>
        <v>18000</v>
      </c>
    </row>
    <row r="143" spans="1:5" x14ac:dyDescent="0.25">
      <c r="A143" s="168">
        <v>13710</v>
      </c>
      <c r="B143" s="84" t="s">
        <v>78</v>
      </c>
      <c r="C143" s="15">
        <v>3000</v>
      </c>
      <c r="D143" s="15">
        <v>3000</v>
      </c>
      <c r="E143" s="85">
        <v>3000</v>
      </c>
    </row>
    <row r="144" spans="1:5" x14ac:dyDescent="0.25">
      <c r="A144" s="168">
        <v>13720</v>
      </c>
      <c r="B144" s="84" t="s">
        <v>15</v>
      </c>
      <c r="C144" s="15">
        <v>45000</v>
      </c>
      <c r="D144" s="15">
        <v>45000</v>
      </c>
      <c r="E144" s="85">
        <v>45000</v>
      </c>
    </row>
    <row r="145" spans="1:5" x14ac:dyDescent="0.25">
      <c r="A145" s="168">
        <v>13780</v>
      </c>
      <c r="B145" s="84" t="s">
        <v>115</v>
      </c>
      <c r="C145" s="15">
        <v>43000</v>
      </c>
      <c r="D145" s="15">
        <v>43000</v>
      </c>
      <c r="E145" s="85">
        <v>43000</v>
      </c>
    </row>
    <row r="146" spans="1:5" x14ac:dyDescent="0.25">
      <c r="A146" s="168">
        <v>13790</v>
      </c>
      <c r="B146" s="84" t="s">
        <v>48</v>
      </c>
      <c r="C146" s="15">
        <v>1000</v>
      </c>
      <c r="D146" s="15">
        <v>1000</v>
      </c>
      <c r="E146" s="85">
        <v>1000</v>
      </c>
    </row>
    <row r="147" spans="1:5" x14ac:dyDescent="0.25">
      <c r="A147" s="168">
        <v>13950</v>
      </c>
      <c r="B147" s="84" t="s">
        <v>17</v>
      </c>
      <c r="C147" s="15">
        <f>9000+10000</f>
        <v>19000</v>
      </c>
      <c r="D147" s="15">
        <f t="shared" ref="D147:E147" si="2">9000+10000</f>
        <v>19000</v>
      </c>
      <c r="E147" s="15">
        <f t="shared" si="2"/>
        <v>19000</v>
      </c>
    </row>
    <row r="148" spans="1:5" x14ac:dyDescent="0.25">
      <c r="A148" s="168">
        <v>14010</v>
      </c>
      <c r="B148" s="84" t="s">
        <v>18</v>
      </c>
      <c r="C148" s="15">
        <v>15000</v>
      </c>
      <c r="D148" s="15">
        <v>15000</v>
      </c>
      <c r="E148" s="85">
        <v>15000</v>
      </c>
    </row>
    <row r="149" spans="1:5" x14ac:dyDescent="0.25">
      <c r="A149" s="168">
        <v>14050</v>
      </c>
      <c r="B149" s="84" t="s">
        <v>46</v>
      </c>
      <c r="C149" s="15">
        <v>8000</v>
      </c>
      <c r="D149" s="15">
        <v>8000</v>
      </c>
      <c r="E149" s="85">
        <v>8000</v>
      </c>
    </row>
    <row r="150" spans="1:5" x14ac:dyDescent="0.25">
      <c r="A150" s="168"/>
      <c r="B150" s="84" t="s">
        <v>102</v>
      </c>
      <c r="C150" s="15">
        <v>4000</v>
      </c>
      <c r="D150" s="15">
        <v>4000</v>
      </c>
      <c r="E150" s="85">
        <v>4000</v>
      </c>
    </row>
    <row r="151" spans="1:5" x14ac:dyDescent="0.25">
      <c r="A151" s="168">
        <v>14024</v>
      </c>
      <c r="B151" s="84" t="s">
        <v>49</v>
      </c>
      <c r="C151" s="15">
        <v>8000</v>
      </c>
      <c r="D151" s="15">
        <v>8000</v>
      </c>
      <c r="E151" s="85">
        <v>8000</v>
      </c>
    </row>
    <row r="152" spans="1:5" ht="16.5" thickBot="1" x14ac:dyDescent="0.3">
      <c r="A152" s="168"/>
      <c r="B152" s="175" t="s">
        <v>10</v>
      </c>
      <c r="C152" s="91">
        <f>SUM(C136:C151)</f>
        <v>411790</v>
      </c>
      <c r="D152" s="91">
        <f>SUM(D136:D151)</f>
        <v>411790</v>
      </c>
      <c r="E152" s="92">
        <f>SUM(E136:E151)</f>
        <v>411790</v>
      </c>
    </row>
    <row r="154" spans="1:5" ht="16.5" thickBot="1" x14ac:dyDescent="0.3">
      <c r="B154" s="88" t="s">
        <v>37</v>
      </c>
    </row>
    <row r="155" spans="1:5" x14ac:dyDescent="0.25">
      <c r="A155" s="168"/>
      <c r="B155" s="174" t="s">
        <v>4</v>
      </c>
      <c r="C155" s="169">
        <v>2027</v>
      </c>
      <c r="D155" s="169">
        <v>2028</v>
      </c>
      <c r="E155" s="170">
        <v>2029</v>
      </c>
    </row>
    <row r="156" spans="1:5" x14ac:dyDescent="0.25">
      <c r="A156" s="168"/>
      <c r="B156" s="12" t="s">
        <v>199</v>
      </c>
      <c r="C156" s="15">
        <v>3000</v>
      </c>
      <c r="D156" s="15">
        <v>3000</v>
      </c>
      <c r="E156" s="85">
        <v>3000</v>
      </c>
    </row>
    <row r="157" spans="1:5" x14ac:dyDescent="0.25">
      <c r="A157" s="168">
        <v>13460</v>
      </c>
      <c r="B157" s="84" t="s">
        <v>73</v>
      </c>
      <c r="C157" s="15">
        <v>9000</v>
      </c>
      <c r="D157" s="15">
        <v>9000</v>
      </c>
      <c r="E157" s="85">
        <v>9000</v>
      </c>
    </row>
    <row r="158" spans="1:5" x14ac:dyDescent="0.25">
      <c r="A158" s="168">
        <v>13640</v>
      </c>
      <c r="B158" s="84" t="s">
        <v>45</v>
      </c>
      <c r="C158" s="15">
        <v>1000</v>
      </c>
      <c r="D158" s="15">
        <v>1000</v>
      </c>
      <c r="E158" s="85">
        <v>1000</v>
      </c>
    </row>
    <row r="159" spans="1:5" x14ac:dyDescent="0.25">
      <c r="A159" s="168">
        <v>14310</v>
      </c>
      <c r="B159" s="84" t="s">
        <v>9</v>
      </c>
      <c r="C159" s="15">
        <v>1000</v>
      </c>
      <c r="D159" s="15">
        <v>1000</v>
      </c>
      <c r="E159" s="85">
        <v>1000</v>
      </c>
    </row>
    <row r="160" spans="1:5" ht="16.5" thickBot="1" x14ac:dyDescent="0.3">
      <c r="A160" s="168"/>
      <c r="B160" s="175" t="s">
        <v>10</v>
      </c>
      <c r="C160" s="91">
        <f>SUM(C156:C159)</f>
        <v>14000</v>
      </c>
      <c r="D160" s="91">
        <f>SUM(D156:D159)</f>
        <v>14000</v>
      </c>
      <c r="E160" s="92">
        <f>SUM(E156:E159)</f>
        <v>14000</v>
      </c>
    </row>
    <row r="162" spans="1:5" ht="16.5" thickBot="1" x14ac:dyDescent="0.3">
      <c r="B162" s="88" t="s">
        <v>92</v>
      </c>
    </row>
    <row r="163" spans="1:5" x14ac:dyDescent="0.25">
      <c r="A163" s="168"/>
      <c r="B163" s="174" t="s">
        <v>4</v>
      </c>
      <c r="C163" s="169">
        <v>2027</v>
      </c>
      <c r="D163" s="169">
        <v>2028</v>
      </c>
      <c r="E163" s="170">
        <v>2029</v>
      </c>
    </row>
    <row r="164" spans="1:5" x14ac:dyDescent="0.25">
      <c r="A164" s="168">
        <v>13460</v>
      </c>
      <c r="B164" s="84" t="s">
        <v>73</v>
      </c>
      <c r="C164" s="15">
        <v>35000</v>
      </c>
      <c r="D164" s="15">
        <v>35000</v>
      </c>
      <c r="E164" s="85">
        <v>35000</v>
      </c>
    </row>
    <row r="165" spans="1:5" x14ac:dyDescent="0.25">
      <c r="A165" s="168">
        <v>13780</v>
      </c>
      <c r="B165" s="84" t="s">
        <v>16</v>
      </c>
      <c r="C165" s="15">
        <v>10000</v>
      </c>
      <c r="D165" s="15">
        <v>10000</v>
      </c>
      <c r="E165" s="85">
        <v>10000</v>
      </c>
    </row>
    <row r="166" spans="1:5" ht="16.5" thickBot="1" x14ac:dyDescent="0.3">
      <c r="A166" s="168"/>
      <c r="B166" s="175" t="s">
        <v>10</v>
      </c>
      <c r="C166" s="91">
        <f>SUM(C164:C165)</f>
        <v>45000</v>
      </c>
      <c r="D166" s="91">
        <f>SUM(D164:D165)</f>
        <v>45000</v>
      </c>
      <c r="E166" s="92">
        <f>SUM(E164:E165)</f>
        <v>45000</v>
      </c>
    </row>
    <row r="167" spans="1:5" x14ac:dyDescent="0.25">
      <c r="C167" s="16"/>
      <c r="D167" s="16"/>
      <c r="E167" s="16"/>
    </row>
    <row r="168" spans="1:5" ht="16.5" thickBot="1" x14ac:dyDescent="0.3">
      <c r="B168" s="88" t="s">
        <v>38</v>
      </c>
    </row>
    <row r="169" spans="1:5" x14ac:dyDescent="0.25">
      <c r="A169" s="168"/>
      <c r="B169" s="174" t="s">
        <v>4</v>
      </c>
      <c r="C169" s="169">
        <v>2027</v>
      </c>
      <c r="D169" s="169">
        <v>2028</v>
      </c>
      <c r="E169" s="170">
        <v>2029</v>
      </c>
    </row>
    <row r="170" spans="1:5" x14ac:dyDescent="0.25">
      <c r="A170" s="168">
        <v>13140</v>
      </c>
      <c r="B170" s="84" t="s">
        <v>71</v>
      </c>
      <c r="C170" s="18">
        <v>5000</v>
      </c>
      <c r="D170" s="18">
        <v>5000</v>
      </c>
      <c r="E170" s="171">
        <v>5000</v>
      </c>
    </row>
    <row r="171" spans="1:5" x14ac:dyDescent="0.25">
      <c r="A171" s="168"/>
      <c r="B171" s="84" t="s">
        <v>132</v>
      </c>
      <c r="C171" s="18">
        <f>65000+2000</f>
        <v>67000</v>
      </c>
      <c r="D171" s="18">
        <f t="shared" ref="D171:E171" si="3">65000+2000</f>
        <v>67000</v>
      </c>
      <c r="E171" s="18">
        <f t="shared" si="3"/>
        <v>67000</v>
      </c>
    </row>
    <row r="172" spans="1:5" x14ac:dyDescent="0.25">
      <c r="A172" s="168">
        <v>13640</v>
      </c>
      <c r="B172" s="84" t="s">
        <v>45</v>
      </c>
      <c r="C172" s="18">
        <v>3000</v>
      </c>
      <c r="D172" s="18">
        <v>3000</v>
      </c>
      <c r="E172" s="171">
        <v>3000</v>
      </c>
    </row>
    <row r="173" spans="1:5" x14ac:dyDescent="0.25">
      <c r="A173" s="168">
        <v>14310</v>
      </c>
      <c r="B173" s="84" t="s">
        <v>9</v>
      </c>
      <c r="C173" s="18">
        <v>8000</v>
      </c>
      <c r="D173" s="18">
        <v>8000</v>
      </c>
      <c r="E173" s="171">
        <v>8000</v>
      </c>
    </row>
    <row r="174" spans="1:5" x14ac:dyDescent="0.25">
      <c r="A174" s="168">
        <v>13450</v>
      </c>
      <c r="B174" s="84" t="s">
        <v>79</v>
      </c>
      <c r="C174" s="18">
        <v>3000</v>
      </c>
      <c r="D174" s="18">
        <v>3000</v>
      </c>
      <c r="E174" s="171">
        <v>3000</v>
      </c>
    </row>
    <row r="175" spans="1:5" x14ac:dyDescent="0.25">
      <c r="A175" s="168">
        <v>13720</v>
      </c>
      <c r="B175" s="84" t="s">
        <v>15</v>
      </c>
      <c r="C175" s="18">
        <v>5000</v>
      </c>
      <c r="D175" s="18">
        <v>5000</v>
      </c>
      <c r="E175" s="171">
        <v>5000</v>
      </c>
    </row>
    <row r="176" spans="1:5" ht="16.5" thickBot="1" x14ac:dyDescent="0.3">
      <c r="A176" s="168"/>
      <c r="B176" s="175" t="s">
        <v>10</v>
      </c>
      <c r="C176" s="172">
        <f>SUM(C170:C175)</f>
        <v>91000</v>
      </c>
      <c r="D176" s="172">
        <f>SUM(D170:D175)</f>
        <v>91000</v>
      </c>
      <c r="E176" s="173">
        <f>SUM(E170:E175)</f>
        <v>91000</v>
      </c>
    </row>
    <row r="178" spans="1:5" ht="16.5" thickBot="1" x14ac:dyDescent="0.3">
      <c r="B178" s="88" t="s">
        <v>91</v>
      </c>
    </row>
    <row r="179" spans="1:5" x14ac:dyDescent="0.25">
      <c r="A179" s="168"/>
      <c r="B179" s="174" t="s">
        <v>4</v>
      </c>
      <c r="C179" s="169">
        <v>2027</v>
      </c>
      <c r="D179" s="169">
        <v>2028</v>
      </c>
      <c r="E179" s="170">
        <v>2029</v>
      </c>
    </row>
    <row r="180" spans="1:5" x14ac:dyDescent="0.25">
      <c r="A180" s="168">
        <v>13460</v>
      </c>
      <c r="B180" s="84" t="s">
        <v>7</v>
      </c>
      <c r="C180" s="18">
        <v>3000</v>
      </c>
      <c r="D180" s="18">
        <v>3000</v>
      </c>
      <c r="E180" s="171">
        <v>3000</v>
      </c>
    </row>
    <row r="181" spans="1:5" x14ac:dyDescent="0.25">
      <c r="A181" s="168">
        <v>13640</v>
      </c>
      <c r="B181" s="84" t="s">
        <v>45</v>
      </c>
      <c r="C181" s="18">
        <v>1000</v>
      </c>
      <c r="D181" s="18">
        <v>1000</v>
      </c>
      <c r="E181" s="171">
        <v>1000</v>
      </c>
    </row>
    <row r="182" spans="1:5" x14ac:dyDescent="0.25">
      <c r="A182" s="168">
        <v>14310</v>
      </c>
      <c r="B182" s="84" t="s">
        <v>9</v>
      </c>
      <c r="C182" s="18">
        <v>3000</v>
      </c>
      <c r="D182" s="18">
        <v>3000</v>
      </c>
      <c r="E182" s="171">
        <v>3000</v>
      </c>
    </row>
    <row r="183" spans="1:5" x14ac:dyDescent="0.25">
      <c r="A183" s="168">
        <v>13450</v>
      </c>
      <c r="B183" s="84" t="s">
        <v>79</v>
      </c>
      <c r="C183" s="18">
        <v>2000</v>
      </c>
      <c r="D183" s="18">
        <v>2000</v>
      </c>
      <c r="E183" s="171">
        <v>2000</v>
      </c>
    </row>
    <row r="184" spans="1:5" x14ac:dyDescent="0.25">
      <c r="A184" s="168">
        <v>13720</v>
      </c>
      <c r="B184" s="84" t="s">
        <v>15</v>
      </c>
      <c r="C184" s="18">
        <v>3500</v>
      </c>
      <c r="D184" s="18">
        <v>3500</v>
      </c>
      <c r="E184" s="171">
        <v>3500</v>
      </c>
    </row>
    <row r="185" spans="1:5" ht="16.5" thickBot="1" x14ac:dyDescent="0.3">
      <c r="A185" s="168"/>
      <c r="B185" s="175" t="s">
        <v>10</v>
      </c>
      <c r="C185" s="172">
        <f>SUM(C180:C184)</f>
        <v>12500</v>
      </c>
      <c r="D185" s="172">
        <f>SUM(D180:D184)</f>
        <v>12500</v>
      </c>
      <c r="E185" s="173">
        <f>SUM(E180:E184)</f>
        <v>12500</v>
      </c>
    </row>
    <row r="186" spans="1:5" x14ac:dyDescent="0.25">
      <c r="C186" s="19"/>
      <c r="D186" s="19"/>
      <c r="E186" s="19"/>
    </row>
    <row r="187" spans="1:5" ht="16.5" thickBot="1" x14ac:dyDescent="0.3">
      <c r="B187" s="88" t="s">
        <v>39</v>
      </c>
    </row>
    <row r="188" spans="1:5" x14ac:dyDescent="0.25">
      <c r="A188" s="168"/>
      <c r="B188" s="174" t="s">
        <v>4</v>
      </c>
      <c r="C188" s="169">
        <v>2027</v>
      </c>
      <c r="D188" s="169">
        <v>2028</v>
      </c>
      <c r="E188" s="170">
        <v>2029</v>
      </c>
    </row>
    <row r="189" spans="1:5" x14ac:dyDescent="0.25">
      <c r="A189" s="168">
        <v>13460</v>
      </c>
      <c r="B189" s="84" t="s">
        <v>128</v>
      </c>
      <c r="C189" s="15">
        <v>50000</v>
      </c>
      <c r="D189" s="15">
        <v>50000</v>
      </c>
      <c r="E189" s="85">
        <v>50000</v>
      </c>
    </row>
    <row r="190" spans="1:5" x14ac:dyDescent="0.25">
      <c r="A190" s="168">
        <v>13640</v>
      </c>
      <c r="B190" s="84" t="s">
        <v>45</v>
      </c>
      <c r="C190" s="15">
        <v>12000</v>
      </c>
      <c r="D190" s="15">
        <v>15000</v>
      </c>
      <c r="E190" s="85">
        <v>15000</v>
      </c>
    </row>
    <row r="191" spans="1:5" x14ac:dyDescent="0.25">
      <c r="A191" s="168">
        <v>13610</v>
      </c>
      <c r="B191" s="84" t="s">
        <v>8</v>
      </c>
      <c r="C191" s="15">
        <v>4000</v>
      </c>
      <c r="D191" s="15">
        <v>4000</v>
      </c>
      <c r="E191" s="85">
        <v>4000</v>
      </c>
    </row>
    <row r="192" spans="1:5" x14ac:dyDescent="0.25">
      <c r="A192" s="168">
        <v>13310</v>
      </c>
      <c r="B192" s="84" t="s">
        <v>13</v>
      </c>
      <c r="C192" s="15">
        <v>3600</v>
      </c>
      <c r="D192" s="15">
        <v>3600</v>
      </c>
      <c r="E192" s="85">
        <v>3600</v>
      </c>
    </row>
    <row r="193" spans="1:5" x14ac:dyDescent="0.25">
      <c r="A193" s="168">
        <v>13720</v>
      </c>
      <c r="B193" s="84" t="s">
        <v>15</v>
      </c>
      <c r="C193" s="15">
        <v>38000</v>
      </c>
      <c r="D193" s="15">
        <v>35000</v>
      </c>
      <c r="E193" s="85">
        <v>35000</v>
      </c>
    </row>
    <row r="194" spans="1:5" x14ac:dyDescent="0.25">
      <c r="A194" s="168"/>
      <c r="B194" s="84" t="s">
        <v>80</v>
      </c>
      <c r="C194" s="15">
        <v>30000</v>
      </c>
      <c r="D194" s="15">
        <v>30000</v>
      </c>
      <c r="E194" s="85">
        <v>30000</v>
      </c>
    </row>
    <row r="195" spans="1:5" x14ac:dyDescent="0.25">
      <c r="A195" s="168">
        <v>13760</v>
      </c>
      <c r="B195" s="84" t="s">
        <v>72</v>
      </c>
      <c r="C195" s="15">
        <v>81000</v>
      </c>
      <c r="D195" s="15">
        <v>81000</v>
      </c>
      <c r="E195" s="85">
        <v>81000</v>
      </c>
    </row>
    <row r="196" spans="1:5" x14ac:dyDescent="0.25">
      <c r="A196" s="168">
        <v>14310</v>
      </c>
      <c r="B196" s="84" t="s">
        <v>9</v>
      </c>
      <c r="C196" s="15">
        <v>5000</v>
      </c>
      <c r="D196" s="15">
        <v>5000</v>
      </c>
      <c r="E196" s="85">
        <v>5000</v>
      </c>
    </row>
    <row r="197" spans="1:5" x14ac:dyDescent="0.25">
      <c r="A197" s="168">
        <v>13760</v>
      </c>
      <c r="B197" s="84" t="s">
        <v>50</v>
      </c>
      <c r="C197" s="15">
        <v>210000</v>
      </c>
      <c r="D197" s="15">
        <v>210000</v>
      </c>
      <c r="E197" s="85">
        <v>210000</v>
      </c>
    </row>
    <row r="198" spans="1:5" ht="16.5" thickBot="1" x14ac:dyDescent="0.3">
      <c r="A198" s="168"/>
      <c r="B198" s="175" t="s">
        <v>10</v>
      </c>
      <c r="C198" s="91">
        <f>SUM(C189:C197)</f>
        <v>433600</v>
      </c>
      <c r="D198" s="91">
        <f>SUM(D189:D197)</f>
        <v>433600</v>
      </c>
      <c r="E198" s="92">
        <f>SUM(E189:E197)</f>
        <v>433600</v>
      </c>
    </row>
    <row r="200" spans="1:5" ht="16.5" thickBot="1" x14ac:dyDescent="0.3">
      <c r="B200" s="88" t="s">
        <v>40</v>
      </c>
    </row>
    <row r="201" spans="1:5" x14ac:dyDescent="0.25">
      <c r="A201" s="168"/>
      <c r="B201" s="174" t="s">
        <v>4</v>
      </c>
      <c r="C201" s="169">
        <v>2027</v>
      </c>
      <c r="D201" s="169">
        <v>2028</v>
      </c>
      <c r="E201" s="170">
        <v>2029</v>
      </c>
    </row>
    <row r="202" spans="1:5" x14ac:dyDescent="0.25">
      <c r="A202" s="168">
        <v>13620</v>
      </c>
      <c r="B202" s="84" t="s">
        <v>41</v>
      </c>
      <c r="C202" s="15">
        <f>125000-15000</f>
        <v>110000</v>
      </c>
      <c r="D202" s="15">
        <f t="shared" ref="D202:E202" si="4">125000-15000</f>
        <v>110000</v>
      </c>
      <c r="E202" s="15">
        <f t="shared" si="4"/>
        <v>110000</v>
      </c>
    </row>
    <row r="203" spans="1:5" x14ac:dyDescent="0.25">
      <c r="A203" s="168">
        <v>13610</v>
      </c>
      <c r="B203" s="84" t="s">
        <v>116</v>
      </c>
      <c r="C203" s="15">
        <v>6000</v>
      </c>
      <c r="D203" s="15">
        <v>6000</v>
      </c>
      <c r="E203" s="85">
        <v>6000</v>
      </c>
    </row>
    <row r="204" spans="1:5" x14ac:dyDescent="0.25">
      <c r="A204" s="168"/>
      <c r="B204" s="84" t="s">
        <v>134</v>
      </c>
      <c r="C204" s="15">
        <v>8000</v>
      </c>
      <c r="D204" s="15">
        <v>8000</v>
      </c>
      <c r="E204" s="85">
        <v>8000</v>
      </c>
    </row>
    <row r="205" spans="1:5" x14ac:dyDescent="0.25">
      <c r="A205" s="168">
        <v>13720</v>
      </c>
      <c r="B205" s="84" t="s">
        <v>15</v>
      </c>
      <c r="C205" s="15">
        <f>40000+15000</f>
        <v>55000</v>
      </c>
      <c r="D205" s="15">
        <f t="shared" ref="D205:E205" si="5">40000+15000</f>
        <v>55000</v>
      </c>
      <c r="E205" s="15">
        <f t="shared" si="5"/>
        <v>55000</v>
      </c>
    </row>
    <row r="206" spans="1:5" x14ac:dyDescent="0.25">
      <c r="A206" s="168">
        <v>13770</v>
      </c>
      <c r="B206" s="84" t="s">
        <v>115</v>
      </c>
      <c r="C206" s="15">
        <v>2000</v>
      </c>
      <c r="D206" s="15">
        <v>2000</v>
      </c>
      <c r="E206" s="85">
        <v>2000</v>
      </c>
    </row>
    <row r="207" spans="1:5" x14ac:dyDescent="0.25">
      <c r="A207" s="168"/>
      <c r="B207" s="84" t="s">
        <v>133</v>
      </c>
      <c r="C207" s="15">
        <v>4000</v>
      </c>
      <c r="D207" s="15">
        <v>4000</v>
      </c>
      <c r="E207" s="85">
        <v>4000</v>
      </c>
    </row>
    <row r="208" spans="1:5" x14ac:dyDescent="0.25">
      <c r="A208" s="168">
        <v>13640</v>
      </c>
      <c r="B208" s="84" t="s">
        <v>45</v>
      </c>
      <c r="C208" s="15">
        <v>15000</v>
      </c>
      <c r="D208" s="15">
        <v>15000</v>
      </c>
      <c r="E208" s="85">
        <v>15000</v>
      </c>
    </row>
    <row r="209" spans="1:5" ht="16.5" thickBot="1" x14ac:dyDescent="0.3">
      <c r="A209" s="168"/>
      <c r="B209" s="175" t="s">
        <v>10</v>
      </c>
      <c r="C209" s="91">
        <f>SUM(C202:C208)</f>
        <v>200000</v>
      </c>
      <c r="D209" s="91">
        <f>SUM(D202:D208)</f>
        <v>200000</v>
      </c>
      <c r="E209" s="92">
        <f>SUM(E202:E208)</f>
        <v>200000</v>
      </c>
    </row>
    <row r="210" spans="1:5" x14ac:dyDescent="0.25">
      <c r="C210" s="16"/>
      <c r="D210" s="16"/>
      <c r="E210" s="16"/>
    </row>
    <row r="211" spans="1:5" ht="16.5" thickBot="1" x14ac:dyDescent="0.3">
      <c r="B211" s="88" t="s">
        <v>42</v>
      </c>
    </row>
    <row r="212" spans="1:5" x14ac:dyDescent="0.25">
      <c r="A212" s="168"/>
      <c r="B212" s="174" t="s">
        <v>4</v>
      </c>
      <c r="C212" s="169">
        <v>2027</v>
      </c>
      <c r="D212" s="169">
        <v>2028</v>
      </c>
      <c r="E212" s="170">
        <v>2029</v>
      </c>
    </row>
    <row r="213" spans="1:5" x14ac:dyDescent="0.25">
      <c r="A213" s="168"/>
      <c r="B213" s="84" t="s">
        <v>130</v>
      </c>
      <c r="C213" s="18">
        <v>5000</v>
      </c>
      <c r="D213" s="18">
        <v>5000</v>
      </c>
      <c r="E213" s="171">
        <v>5000</v>
      </c>
    </row>
    <row r="214" spans="1:5" x14ac:dyDescent="0.25">
      <c r="A214" s="168">
        <v>13610</v>
      </c>
      <c r="B214" s="84" t="s">
        <v>8</v>
      </c>
      <c r="C214" s="18">
        <v>15000</v>
      </c>
      <c r="D214" s="18">
        <v>15000</v>
      </c>
      <c r="E214" s="171">
        <v>15000</v>
      </c>
    </row>
    <row r="215" spans="1:5" x14ac:dyDescent="0.25">
      <c r="A215" s="168"/>
      <c r="B215" s="84" t="s">
        <v>127</v>
      </c>
      <c r="C215" s="18">
        <v>10000</v>
      </c>
      <c r="D215" s="18">
        <v>10000</v>
      </c>
      <c r="E215" s="171">
        <v>10000</v>
      </c>
    </row>
    <row r="216" spans="1:5" x14ac:dyDescent="0.25">
      <c r="A216" s="168">
        <v>14020</v>
      </c>
      <c r="B216" s="84" t="s">
        <v>19</v>
      </c>
      <c r="C216" s="18">
        <v>16000</v>
      </c>
      <c r="D216" s="18">
        <v>16000</v>
      </c>
      <c r="E216" s="171">
        <v>16000</v>
      </c>
    </row>
    <row r="217" spans="1:5" x14ac:dyDescent="0.25">
      <c r="A217" s="168"/>
      <c r="B217" s="84" t="s">
        <v>116</v>
      </c>
      <c r="C217" s="18">
        <v>5000</v>
      </c>
      <c r="D217" s="18">
        <v>5000</v>
      </c>
      <c r="E217" s="171">
        <v>5000</v>
      </c>
    </row>
    <row r="218" spans="1:5" x14ac:dyDescent="0.25">
      <c r="A218" s="168">
        <v>13770</v>
      </c>
      <c r="B218" s="84" t="s">
        <v>15</v>
      </c>
      <c r="C218" s="18">
        <v>10000</v>
      </c>
      <c r="D218" s="18">
        <v>10000</v>
      </c>
      <c r="E218" s="171">
        <v>10000</v>
      </c>
    </row>
    <row r="219" spans="1:5" ht="16.5" thickBot="1" x14ac:dyDescent="0.3">
      <c r="A219" s="168"/>
      <c r="B219" s="175" t="s">
        <v>10</v>
      </c>
      <c r="C219" s="172">
        <f>SUM(C213:C218)</f>
        <v>61000</v>
      </c>
      <c r="D219" s="172">
        <f>SUM(D213:D218)</f>
        <v>61000</v>
      </c>
      <c r="E219" s="173">
        <f>SUM(E213:E218)</f>
        <v>61000</v>
      </c>
    </row>
    <row r="221" spans="1:5" ht="16.5" thickBot="1" x14ac:dyDescent="0.3">
      <c r="B221" s="88" t="s">
        <v>44</v>
      </c>
    </row>
    <row r="222" spans="1:5" x14ac:dyDescent="0.25">
      <c r="A222" s="168"/>
      <c r="B222" s="174" t="s">
        <v>4</v>
      </c>
      <c r="C222" s="169">
        <v>2027</v>
      </c>
      <c r="D222" s="169">
        <v>2028</v>
      </c>
      <c r="E222" s="170">
        <v>2029</v>
      </c>
    </row>
    <row r="223" spans="1:5" x14ac:dyDescent="0.25">
      <c r="A223" s="168">
        <v>13610</v>
      </c>
      <c r="B223" s="84" t="s">
        <v>8</v>
      </c>
      <c r="C223" s="18">
        <v>3000</v>
      </c>
      <c r="D223" s="18">
        <v>3000</v>
      </c>
      <c r="E223" s="171">
        <v>3000</v>
      </c>
    </row>
    <row r="224" spans="1:5" x14ac:dyDescent="0.25">
      <c r="A224" s="168"/>
      <c r="B224" s="84" t="s">
        <v>7</v>
      </c>
      <c r="C224" s="18">
        <v>6000</v>
      </c>
      <c r="D224" s="18">
        <v>6000</v>
      </c>
      <c r="E224" s="171">
        <v>6000</v>
      </c>
    </row>
    <row r="225" spans="1:6" x14ac:dyDescent="0.25">
      <c r="A225" s="168">
        <v>13620</v>
      </c>
      <c r="B225" s="84" t="s">
        <v>43</v>
      </c>
      <c r="C225" s="18">
        <v>1000</v>
      </c>
      <c r="D225" s="18">
        <v>1000</v>
      </c>
      <c r="E225" s="171">
        <v>1000</v>
      </c>
    </row>
    <row r="226" spans="1:6" x14ac:dyDescent="0.25">
      <c r="A226" s="168">
        <v>14020</v>
      </c>
      <c r="B226" s="84" t="s">
        <v>19</v>
      </c>
      <c r="C226" s="18">
        <v>20000</v>
      </c>
      <c r="D226" s="18">
        <v>20000</v>
      </c>
      <c r="E226" s="171">
        <v>20000</v>
      </c>
    </row>
    <row r="227" spans="1:6" x14ac:dyDescent="0.25">
      <c r="A227" s="168">
        <v>13770</v>
      </c>
      <c r="B227" s="84" t="s">
        <v>115</v>
      </c>
      <c r="C227" s="18">
        <v>2000</v>
      </c>
      <c r="D227" s="18">
        <v>2000</v>
      </c>
      <c r="E227" s="171">
        <v>2000</v>
      </c>
    </row>
    <row r="228" spans="1:6" ht="16.5" thickBot="1" x14ac:dyDescent="0.3">
      <c r="A228" s="168"/>
      <c r="B228" s="175" t="s">
        <v>10</v>
      </c>
      <c r="C228" s="172">
        <f>SUM(C223:C227)</f>
        <v>32000</v>
      </c>
      <c r="D228" s="172">
        <f>SUM(D223:D227)</f>
        <v>32000</v>
      </c>
      <c r="E228" s="173">
        <f>SUM(E223:E227)</f>
        <v>32000</v>
      </c>
    </row>
    <row r="229" spans="1:6" ht="16.5" thickBot="1" x14ac:dyDescent="0.3">
      <c r="C229" s="20"/>
      <c r="D229" s="20"/>
      <c r="E229" s="20"/>
    </row>
    <row r="230" spans="1:6" ht="16.5" thickBot="1" x14ac:dyDescent="0.3">
      <c r="B230" s="167" t="s">
        <v>99</v>
      </c>
      <c r="C230" s="164">
        <f>C10+C18+C35+C41+C50+C58+C67+C73+C84+C93+C99+C107+C113+C119+C126+C132+C152+C160+C166+C176+C185+C198+C209+C219+C228</f>
        <v>4985490</v>
      </c>
      <c r="D230" s="164">
        <f>D10+D18+D35+D41+D50+D58+D67+D73+D84+D93+D99+D107+D113+D119+D126+D132+D152+D160+D166+D176+D185+D198+D209+D219+D228</f>
        <v>4987490</v>
      </c>
      <c r="E230" s="164">
        <f>E10+E18+E35+E41+E50+E58+E67+E73+E84+E93+E99+E107+E113+E119+E126+E132+E152+E160+E166+E176+E185+E198+E209+E219+E228</f>
        <v>4987490</v>
      </c>
    </row>
    <row r="231" spans="1:6" x14ac:dyDescent="0.25">
      <c r="C231" s="165"/>
      <c r="D231" s="163"/>
      <c r="E231" s="166"/>
    </row>
    <row r="232" spans="1:6" x14ac:dyDescent="0.25">
      <c r="C232" s="108">
        <v>4985490</v>
      </c>
      <c r="D232" s="109">
        <v>4987490</v>
      </c>
      <c r="E232" s="110">
        <v>4987490</v>
      </c>
      <c r="F232" s="47"/>
    </row>
    <row r="233" spans="1:6" ht="16.5" thickBot="1" x14ac:dyDescent="0.3">
      <c r="C233" s="183">
        <f t="shared" ref="C233:E233" si="6">C230-C232</f>
        <v>0</v>
      </c>
      <c r="D233" s="172">
        <f t="shared" si="6"/>
        <v>0</v>
      </c>
      <c r="E233" s="173">
        <f t="shared" si="6"/>
        <v>0</v>
      </c>
    </row>
    <row r="245" spans="3:3" x14ac:dyDescent="0.25">
      <c r="C245" s="46"/>
    </row>
  </sheetData>
  <autoFilter ref="B5:D231" xr:uid="{00000000-0009-0000-0000-000001000000}"/>
  <pageMargins left="0.2" right="0.2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8"/>
  <sheetViews>
    <sheetView topLeftCell="A16" zoomScaleNormal="100" workbookViewId="0">
      <selection activeCell="H7" sqref="H7:H12"/>
    </sheetView>
  </sheetViews>
  <sheetFormatPr defaultColWidth="8.85546875" defaultRowHeight="15.75" x14ac:dyDescent="0.25"/>
  <cols>
    <col min="1" max="1" width="40.7109375" style="12" customWidth="1"/>
    <col min="2" max="2" width="19" style="12" customWidth="1"/>
    <col min="3" max="4" width="15" style="12" customWidth="1"/>
    <col min="5" max="5" width="12.5703125" style="1" bestFit="1" customWidth="1"/>
    <col min="6" max="6" width="4.28515625" style="1" bestFit="1" customWidth="1"/>
    <col min="7" max="7" width="5.85546875" style="1" bestFit="1" customWidth="1"/>
    <col min="8" max="8" width="14.85546875" style="1" bestFit="1" customWidth="1"/>
    <col min="9" max="16384" width="8.85546875" style="1"/>
  </cols>
  <sheetData>
    <row r="1" spans="1:8" x14ac:dyDescent="0.25">
      <c r="A1" s="12" t="s">
        <v>195</v>
      </c>
    </row>
    <row r="2" spans="1:8" x14ac:dyDescent="0.25">
      <c r="A2" s="29" t="s">
        <v>75</v>
      </c>
    </row>
    <row r="4" spans="1:8" ht="16.5" thickBot="1" x14ac:dyDescent="0.3">
      <c r="A4" s="88" t="s">
        <v>12</v>
      </c>
    </row>
    <row r="5" spans="1:8" x14ac:dyDescent="0.25">
      <c r="A5" s="89" t="s">
        <v>0</v>
      </c>
      <c r="B5" s="90">
        <v>2027</v>
      </c>
      <c r="C5" s="90">
        <v>2028</v>
      </c>
      <c r="D5" s="90">
        <v>2029</v>
      </c>
    </row>
    <row r="6" spans="1:8" x14ac:dyDescent="0.25">
      <c r="A6" s="84" t="s">
        <v>55</v>
      </c>
      <c r="B6" s="15">
        <v>85000</v>
      </c>
      <c r="C6" s="15">
        <v>85000</v>
      </c>
      <c r="D6" s="85">
        <v>85000</v>
      </c>
    </row>
    <row r="7" spans="1:8" x14ac:dyDescent="0.25">
      <c r="A7" s="84" t="s">
        <v>56</v>
      </c>
      <c r="B7" s="15">
        <v>15000</v>
      </c>
      <c r="C7" s="15">
        <v>15000</v>
      </c>
      <c r="D7" s="85">
        <v>15000</v>
      </c>
    </row>
    <row r="8" spans="1:8" x14ac:dyDescent="0.25">
      <c r="A8" s="84" t="s">
        <v>57</v>
      </c>
      <c r="B8" s="15">
        <v>15000</v>
      </c>
      <c r="C8" s="15">
        <v>15000</v>
      </c>
      <c r="D8" s="85">
        <v>15000</v>
      </c>
    </row>
    <row r="9" spans="1:8" x14ac:dyDescent="0.25">
      <c r="A9" s="84" t="s">
        <v>58</v>
      </c>
      <c r="B9" s="15">
        <v>2500</v>
      </c>
      <c r="C9" s="15">
        <v>2500</v>
      </c>
      <c r="D9" s="85">
        <v>2500</v>
      </c>
    </row>
    <row r="10" spans="1:8" ht="16.5" thickBot="1" x14ac:dyDescent="0.3">
      <c r="A10" s="93"/>
      <c r="B10" s="91">
        <f t="shared" ref="B10:D10" si="0">SUM(B6:B9)</f>
        <v>117500</v>
      </c>
      <c r="C10" s="91">
        <f t="shared" si="0"/>
        <v>117500</v>
      </c>
      <c r="D10" s="92">
        <f t="shared" si="0"/>
        <v>117500</v>
      </c>
      <c r="H10" s="2"/>
    </row>
    <row r="11" spans="1:8" x14ac:dyDescent="0.25">
      <c r="A11" s="13"/>
    </row>
    <row r="12" spans="1:8" ht="16.5" thickBot="1" x14ac:dyDescent="0.3">
      <c r="A12" s="88" t="s">
        <v>59</v>
      </c>
    </row>
    <row r="13" spans="1:8" x14ac:dyDescent="0.25">
      <c r="A13" s="89" t="s">
        <v>0</v>
      </c>
      <c r="B13" s="90">
        <v>2027</v>
      </c>
      <c r="C13" s="90">
        <v>2028</v>
      </c>
      <c r="D13" s="90">
        <v>2029</v>
      </c>
    </row>
    <row r="14" spans="1:8" x14ac:dyDescent="0.25">
      <c r="A14" s="84" t="s">
        <v>60</v>
      </c>
      <c r="B14" s="15">
        <v>516040</v>
      </c>
      <c r="C14" s="15">
        <v>516040</v>
      </c>
      <c r="D14" s="85">
        <v>516040</v>
      </c>
      <c r="E14" s="2"/>
      <c r="H14" s="2"/>
    </row>
    <row r="15" spans="1:8" ht="16.5" thickBot="1" x14ac:dyDescent="0.3">
      <c r="A15" s="93"/>
      <c r="B15" s="91">
        <f t="shared" ref="B15:C15" si="1">SUM(B14)</f>
        <v>516040</v>
      </c>
      <c r="C15" s="91">
        <f t="shared" si="1"/>
        <v>516040</v>
      </c>
      <c r="D15" s="92">
        <f t="shared" ref="D15" si="2">SUM(D14)</f>
        <v>516040</v>
      </c>
    </row>
    <row r="17" spans="1:4" ht="16.5" thickBot="1" x14ac:dyDescent="0.3">
      <c r="A17" s="13" t="s">
        <v>61</v>
      </c>
    </row>
    <row r="18" spans="1:4" x14ac:dyDescent="0.25">
      <c r="A18" s="94" t="s">
        <v>0</v>
      </c>
      <c r="B18" s="45">
        <v>2027</v>
      </c>
      <c r="C18" s="45">
        <v>2028</v>
      </c>
      <c r="D18" s="45">
        <v>2029</v>
      </c>
    </row>
    <row r="19" spans="1:4" x14ac:dyDescent="0.25">
      <c r="A19" s="84" t="s">
        <v>55</v>
      </c>
      <c r="B19" s="15">
        <f>115000+5000</f>
        <v>120000</v>
      </c>
      <c r="C19" s="15">
        <f>115000+5000</f>
        <v>120000</v>
      </c>
      <c r="D19" s="85">
        <f>115000+5000</f>
        <v>120000</v>
      </c>
    </row>
    <row r="20" spans="1:4" x14ac:dyDescent="0.25">
      <c r="A20" s="84" t="s">
        <v>56</v>
      </c>
      <c r="B20" s="15">
        <v>15000</v>
      </c>
      <c r="C20" s="15">
        <v>15000</v>
      </c>
      <c r="D20" s="85">
        <v>15000</v>
      </c>
    </row>
    <row r="21" spans="1:4" x14ac:dyDescent="0.25">
      <c r="A21" s="84" t="s">
        <v>57</v>
      </c>
      <c r="B21" s="15">
        <v>18000</v>
      </c>
      <c r="C21" s="15">
        <v>18000</v>
      </c>
      <c r="D21" s="85">
        <v>18000</v>
      </c>
    </row>
    <row r="22" spans="1:4" x14ac:dyDescent="0.25">
      <c r="A22" s="84" t="s">
        <v>58</v>
      </c>
      <c r="B22" s="15">
        <v>3000</v>
      </c>
      <c r="C22" s="15">
        <v>3000</v>
      </c>
      <c r="D22" s="85">
        <v>3000</v>
      </c>
    </row>
    <row r="23" spans="1:4" ht="16.5" thickBot="1" x14ac:dyDescent="0.3">
      <c r="A23" s="95"/>
      <c r="B23" s="86">
        <f t="shared" ref="B23:C23" si="3">SUM(B19:B22)</f>
        <v>156000</v>
      </c>
      <c r="C23" s="86">
        <f t="shared" si="3"/>
        <v>156000</v>
      </c>
      <c r="D23" s="87">
        <f t="shared" ref="D23" si="4">SUM(D19:D22)</f>
        <v>156000</v>
      </c>
    </row>
    <row r="25" spans="1:4" ht="16.5" thickBot="1" x14ac:dyDescent="0.3">
      <c r="A25" s="88" t="s">
        <v>54</v>
      </c>
    </row>
    <row r="26" spans="1:4" x14ac:dyDescent="0.25">
      <c r="A26" s="174" t="s">
        <v>0</v>
      </c>
      <c r="B26" s="90">
        <v>2027</v>
      </c>
      <c r="C26" s="90">
        <v>2028</v>
      </c>
      <c r="D26" s="90">
        <v>2029</v>
      </c>
    </row>
    <row r="27" spans="1:4" x14ac:dyDescent="0.25">
      <c r="A27" s="84" t="s">
        <v>55</v>
      </c>
      <c r="B27" s="15">
        <v>50000</v>
      </c>
      <c r="C27" s="15">
        <v>50000</v>
      </c>
      <c r="D27" s="85">
        <v>50000</v>
      </c>
    </row>
    <row r="28" spans="1:4" x14ac:dyDescent="0.25">
      <c r="A28" s="84" t="s">
        <v>56</v>
      </c>
      <c r="B28" s="15">
        <v>19000</v>
      </c>
      <c r="C28" s="15">
        <v>19000</v>
      </c>
      <c r="D28" s="85">
        <v>19000</v>
      </c>
    </row>
    <row r="29" spans="1:4" x14ac:dyDescent="0.25">
      <c r="A29" s="84" t="s">
        <v>57</v>
      </c>
      <c r="B29" s="15">
        <v>7400</v>
      </c>
      <c r="C29" s="15">
        <v>7400</v>
      </c>
      <c r="D29" s="85">
        <v>7400</v>
      </c>
    </row>
    <row r="30" spans="1:4" x14ac:dyDescent="0.25">
      <c r="A30" s="84" t="s">
        <v>58</v>
      </c>
      <c r="B30" s="15">
        <v>1600</v>
      </c>
      <c r="C30" s="15">
        <v>1600</v>
      </c>
      <c r="D30" s="85">
        <v>1600</v>
      </c>
    </row>
    <row r="31" spans="1:4" ht="16.5" thickBot="1" x14ac:dyDescent="0.3">
      <c r="A31" s="93"/>
      <c r="B31" s="91">
        <f t="shared" ref="B31:C31" si="5">SUM(B27:B30)</f>
        <v>78000</v>
      </c>
      <c r="C31" s="91">
        <f t="shared" si="5"/>
        <v>78000</v>
      </c>
      <c r="D31" s="92">
        <f t="shared" ref="D31" si="6">SUM(D27:D30)</f>
        <v>78000</v>
      </c>
    </row>
    <row r="32" spans="1:4" x14ac:dyDescent="0.25">
      <c r="B32" s="16"/>
      <c r="C32" s="16"/>
      <c r="D32" s="16"/>
    </row>
    <row r="33" spans="1:4" ht="16.5" thickBot="1" x14ac:dyDescent="0.3">
      <c r="A33" s="88" t="s">
        <v>91</v>
      </c>
    </row>
    <row r="34" spans="1:4" x14ac:dyDescent="0.25">
      <c r="A34" s="174" t="s">
        <v>0</v>
      </c>
      <c r="B34" s="90">
        <v>2027</v>
      </c>
      <c r="C34" s="90">
        <v>2028</v>
      </c>
      <c r="D34" s="90">
        <v>2029</v>
      </c>
    </row>
    <row r="35" spans="1:4" x14ac:dyDescent="0.25">
      <c r="A35" s="84" t="s">
        <v>55</v>
      </c>
      <c r="B35" s="15">
        <v>3000</v>
      </c>
      <c r="C35" s="15">
        <v>3000</v>
      </c>
      <c r="D35" s="85">
        <v>3000</v>
      </c>
    </row>
    <row r="36" spans="1:4" x14ac:dyDescent="0.25">
      <c r="A36" s="84" t="s">
        <v>56</v>
      </c>
      <c r="B36" s="15">
        <v>1000</v>
      </c>
      <c r="C36" s="15">
        <v>1000</v>
      </c>
      <c r="D36" s="85">
        <v>1000</v>
      </c>
    </row>
    <row r="37" spans="1:4" x14ac:dyDescent="0.25">
      <c r="A37" s="84" t="s">
        <v>57</v>
      </c>
      <c r="B37" s="15">
        <v>600</v>
      </c>
      <c r="C37" s="15">
        <v>600</v>
      </c>
      <c r="D37" s="85">
        <v>600</v>
      </c>
    </row>
    <row r="38" spans="1:4" x14ac:dyDescent="0.25">
      <c r="A38" s="84" t="s">
        <v>58</v>
      </c>
      <c r="B38" s="15">
        <v>400</v>
      </c>
      <c r="C38" s="15">
        <v>400</v>
      </c>
      <c r="D38" s="85">
        <v>400</v>
      </c>
    </row>
    <row r="39" spans="1:4" ht="16.5" thickBot="1" x14ac:dyDescent="0.3">
      <c r="A39" s="93"/>
      <c r="B39" s="91">
        <f t="shared" ref="B39:C39" si="7">SUM(B35:B38)</f>
        <v>5000</v>
      </c>
      <c r="C39" s="91">
        <f t="shared" si="7"/>
        <v>5000</v>
      </c>
      <c r="D39" s="92">
        <f t="shared" ref="D39" si="8">SUM(D35:D38)</f>
        <v>5000</v>
      </c>
    </row>
    <row r="40" spans="1:4" x14ac:dyDescent="0.25">
      <c r="B40" s="16"/>
      <c r="C40" s="16"/>
      <c r="D40" s="16"/>
    </row>
    <row r="41" spans="1:4" ht="16.5" thickBot="1" x14ac:dyDescent="0.3">
      <c r="A41" s="88" t="s">
        <v>62</v>
      </c>
    </row>
    <row r="42" spans="1:4" x14ac:dyDescent="0.25">
      <c r="A42" s="174" t="s">
        <v>0</v>
      </c>
      <c r="B42" s="90">
        <v>2027</v>
      </c>
      <c r="C42" s="90">
        <v>2028</v>
      </c>
      <c r="D42" s="90">
        <v>2029</v>
      </c>
    </row>
    <row r="43" spans="1:4" x14ac:dyDescent="0.25">
      <c r="A43" s="84" t="s">
        <v>55</v>
      </c>
      <c r="B43" s="15">
        <f>92000+45000+3000</f>
        <v>140000</v>
      </c>
      <c r="C43" s="15">
        <f t="shared" ref="C43:D43" si="9">92000+45000+3000</f>
        <v>140000</v>
      </c>
      <c r="D43" s="85">
        <f t="shared" si="9"/>
        <v>140000</v>
      </c>
    </row>
    <row r="44" spans="1:4" x14ac:dyDescent="0.25">
      <c r="A44" s="84" t="s">
        <v>56</v>
      </c>
      <c r="B44" s="15">
        <v>70000</v>
      </c>
      <c r="C44" s="15">
        <v>70000</v>
      </c>
      <c r="D44" s="85">
        <v>70000</v>
      </c>
    </row>
    <row r="45" spans="1:4" x14ac:dyDescent="0.25">
      <c r="A45" s="84" t="s">
        <v>57</v>
      </c>
      <c r="B45" s="15">
        <v>25000</v>
      </c>
      <c r="C45" s="15">
        <v>25000</v>
      </c>
      <c r="D45" s="85">
        <v>25000</v>
      </c>
    </row>
    <row r="46" spans="1:4" x14ac:dyDescent="0.25">
      <c r="A46" s="84" t="s">
        <v>58</v>
      </c>
      <c r="B46" s="15">
        <f t="shared" ref="B46:D46" si="10">3000+2000</f>
        <v>5000</v>
      </c>
      <c r="C46" s="15">
        <f t="shared" si="10"/>
        <v>5000</v>
      </c>
      <c r="D46" s="85">
        <f t="shared" si="10"/>
        <v>5000</v>
      </c>
    </row>
    <row r="47" spans="1:4" ht="16.5" thickBot="1" x14ac:dyDescent="0.3">
      <c r="A47" s="93"/>
      <c r="B47" s="91">
        <f t="shared" ref="B47:C47" si="11">SUM(B43:B46)</f>
        <v>240000</v>
      </c>
      <c r="C47" s="91">
        <f t="shared" si="11"/>
        <v>240000</v>
      </c>
      <c r="D47" s="92">
        <f t="shared" ref="D47" si="12">SUM(D43:D46)</f>
        <v>240000</v>
      </c>
    </row>
    <row r="49" spans="1:4" ht="16.5" thickBot="1" x14ac:dyDescent="0.3">
      <c r="A49" s="88" t="s">
        <v>37</v>
      </c>
    </row>
    <row r="50" spans="1:4" x14ac:dyDescent="0.25">
      <c r="A50" s="174" t="s">
        <v>0</v>
      </c>
      <c r="B50" s="90">
        <v>2027</v>
      </c>
      <c r="C50" s="90">
        <v>2028</v>
      </c>
      <c r="D50" s="90">
        <v>2029</v>
      </c>
    </row>
    <row r="51" spans="1:4" x14ac:dyDescent="0.25">
      <c r="A51" s="84" t="s">
        <v>55</v>
      </c>
      <c r="B51" s="15">
        <v>16500</v>
      </c>
      <c r="C51" s="15">
        <v>16500</v>
      </c>
      <c r="D51" s="85">
        <v>16500</v>
      </c>
    </row>
    <row r="52" spans="1:4" x14ac:dyDescent="0.25">
      <c r="A52" s="84" t="s">
        <v>56</v>
      </c>
      <c r="B52" s="15">
        <v>1200</v>
      </c>
      <c r="C52" s="15">
        <v>1200</v>
      </c>
      <c r="D52" s="85">
        <v>1200</v>
      </c>
    </row>
    <row r="53" spans="1:4" x14ac:dyDescent="0.25">
      <c r="A53" s="84" t="s">
        <v>57</v>
      </c>
      <c r="B53" s="15">
        <v>1300</v>
      </c>
      <c r="C53" s="15">
        <v>1300</v>
      </c>
      <c r="D53" s="85">
        <v>1300</v>
      </c>
    </row>
    <row r="54" spans="1:4" x14ac:dyDescent="0.25">
      <c r="A54" s="84" t="s">
        <v>58</v>
      </c>
      <c r="B54" s="15">
        <v>1200</v>
      </c>
      <c r="C54" s="15">
        <v>1200</v>
      </c>
      <c r="D54" s="85">
        <v>1200</v>
      </c>
    </row>
    <row r="55" spans="1:4" ht="16.5" thickBot="1" x14ac:dyDescent="0.3">
      <c r="A55" s="93"/>
      <c r="B55" s="91">
        <f t="shared" ref="B55:C55" si="13">SUM(B51:B54)</f>
        <v>20200</v>
      </c>
      <c r="C55" s="91">
        <f t="shared" si="13"/>
        <v>20200</v>
      </c>
      <c r="D55" s="92">
        <f t="shared" ref="D55" si="14">SUM(D51:D54)</f>
        <v>20200</v>
      </c>
    </row>
    <row r="56" spans="1:4" x14ac:dyDescent="0.25">
      <c r="B56" s="16"/>
      <c r="C56" s="16"/>
      <c r="D56" s="16"/>
    </row>
    <row r="57" spans="1:4" ht="16.5" thickBot="1" x14ac:dyDescent="0.3">
      <c r="A57" s="88" t="s">
        <v>90</v>
      </c>
    </row>
    <row r="58" spans="1:4" x14ac:dyDescent="0.25">
      <c r="A58" s="174" t="s">
        <v>0</v>
      </c>
      <c r="B58" s="90">
        <v>2027</v>
      </c>
      <c r="C58" s="90">
        <v>2028</v>
      </c>
      <c r="D58" s="90">
        <v>2029</v>
      </c>
    </row>
    <row r="59" spans="1:4" x14ac:dyDescent="0.25">
      <c r="A59" s="84" t="s">
        <v>55</v>
      </c>
      <c r="B59" s="15">
        <v>2400</v>
      </c>
      <c r="C59" s="15">
        <v>2400</v>
      </c>
      <c r="D59" s="85">
        <v>2400</v>
      </c>
    </row>
    <row r="60" spans="1:4" x14ac:dyDescent="0.25">
      <c r="A60" s="84" t="s">
        <v>56</v>
      </c>
      <c r="B60" s="15">
        <f t="shared" ref="B60:D60" si="15">1500-700</f>
        <v>800</v>
      </c>
      <c r="C60" s="15">
        <f t="shared" si="15"/>
        <v>800</v>
      </c>
      <c r="D60" s="85">
        <f t="shared" si="15"/>
        <v>800</v>
      </c>
    </row>
    <row r="61" spans="1:4" x14ac:dyDescent="0.25">
      <c r="A61" s="84" t="s">
        <v>57</v>
      </c>
      <c r="B61" s="15">
        <v>900</v>
      </c>
      <c r="C61" s="15">
        <v>900</v>
      </c>
      <c r="D61" s="85">
        <v>900</v>
      </c>
    </row>
    <row r="62" spans="1:4" x14ac:dyDescent="0.25">
      <c r="A62" s="84" t="s">
        <v>58</v>
      </c>
      <c r="B62" s="15">
        <f t="shared" ref="B62:D62" si="16">1500-600</f>
        <v>900</v>
      </c>
      <c r="C62" s="15">
        <f t="shared" si="16"/>
        <v>900</v>
      </c>
      <c r="D62" s="85">
        <f t="shared" si="16"/>
        <v>900</v>
      </c>
    </row>
    <row r="63" spans="1:4" ht="16.5" thickBot="1" x14ac:dyDescent="0.3">
      <c r="A63" s="93"/>
      <c r="B63" s="91">
        <f t="shared" ref="B63:C63" si="17">SUM(B59:B62)</f>
        <v>5000</v>
      </c>
      <c r="C63" s="91">
        <f t="shared" si="17"/>
        <v>5000</v>
      </c>
      <c r="D63" s="92">
        <f t="shared" ref="D63" si="18">SUM(D59:D62)</f>
        <v>5000</v>
      </c>
    </row>
    <row r="65" spans="1:8" ht="16.5" thickBot="1" x14ac:dyDescent="0.3">
      <c r="A65" s="88" t="s">
        <v>63</v>
      </c>
    </row>
    <row r="66" spans="1:8" x14ac:dyDescent="0.25">
      <c r="A66" s="174" t="s">
        <v>0</v>
      </c>
      <c r="B66" s="90">
        <v>2027</v>
      </c>
      <c r="C66" s="90">
        <v>2028</v>
      </c>
      <c r="D66" s="90">
        <v>2029</v>
      </c>
    </row>
    <row r="67" spans="1:8" x14ac:dyDescent="0.25">
      <c r="A67" s="84" t="s">
        <v>55</v>
      </c>
      <c r="B67" s="15">
        <v>15000</v>
      </c>
      <c r="C67" s="15">
        <v>15000</v>
      </c>
      <c r="D67" s="85">
        <v>15000</v>
      </c>
    </row>
    <row r="68" spans="1:8" x14ac:dyDescent="0.25">
      <c r="A68" s="84" t="s">
        <v>56</v>
      </c>
      <c r="B68" s="15">
        <v>2300</v>
      </c>
      <c r="C68" s="15">
        <v>2300</v>
      </c>
      <c r="D68" s="85">
        <v>2300</v>
      </c>
    </row>
    <row r="69" spans="1:8" x14ac:dyDescent="0.25">
      <c r="A69" s="84" t="s">
        <v>57</v>
      </c>
      <c r="B69" s="15">
        <v>1200</v>
      </c>
      <c r="C69" s="15">
        <v>1200</v>
      </c>
      <c r="D69" s="85">
        <v>1200</v>
      </c>
    </row>
    <row r="70" spans="1:8" x14ac:dyDescent="0.25">
      <c r="A70" s="84" t="s">
        <v>58</v>
      </c>
      <c r="B70" s="15">
        <v>1000</v>
      </c>
      <c r="C70" s="15">
        <v>1000</v>
      </c>
      <c r="D70" s="85">
        <v>1000</v>
      </c>
    </row>
    <row r="71" spans="1:8" ht="16.5" thickBot="1" x14ac:dyDescent="0.3">
      <c r="A71" s="93"/>
      <c r="B71" s="99">
        <f t="shared" ref="B71:C71" si="19">SUM(B67:B70)</f>
        <v>19500</v>
      </c>
      <c r="C71" s="99">
        <f t="shared" si="19"/>
        <v>19500</v>
      </c>
      <c r="D71" s="100">
        <f t="shared" ref="D71" si="20">SUM(D67:D70)</f>
        <v>19500</v>
      </c>
    </row>
    <row r="72" spans="1:8" ht="16.5" thickBot="1" x14ac:dyDescent="0.3">
      <c r="B72" s="96"/>
      <c r="C72" s="97"/>
      <c r="D72" s="98"/>
    </row>
    <row r="73" spans="1:8" ht="16.5" thickBot="1" x14ac:dyDescent="0.3">
      <c r="A73" s="101" t="s">
        <v>99</v>
      </c>
      <c r="B73" s="102">
        <f>+B10+B15+B23+B31+B39+B47+B55+B63+B71</f>
        <v>1157240</v>
      </c>
      <c r="C73" s="103">
        <f>+C10+C15+C23+C31+C39+C47+C55+C63+C71</f>
        <v>1157240</v>
      </c>
      <c r="D73" s="104">
        <f>+D10+D15+D23+D31+D39+D47+D55+D63+D71</f>
        <v>1157240</v>
      </c>
    </row>
    <row r="74" spans="1:8" x14ac:dyDescent="0.25">
      <c r="B74" s="105"/>
      <c r="C74" s="106"/>
      <c r="D74" s="107"/>
    </row>
    <row r="75" spans="1:8" x14ac:dyDescent="0.25">
      <c r="B75" s="108">
        <v>1157240</v>
      </c>
      <c r="C75" s="109">
        <v>1157240</v>
      </c>
      <c r="D75" s="110">
        <v>1157240</v>
      </c>
      <c r="H75" s="2"/>
    </row>
    <row r="76" spans="1:8" ht="16.5" thickBot="1" x14ac:dyDescent="0.3">
      <c r="B76" s="111">
        <f t="shared" ref="B76:C76" si="21">B73-B75</f>
        <v>0</v>
      </c>
      <c r="C76" s="91">
        <f t="shared" si="21"/>
        <v>0</v>
      </c>
      <c r="D76" s="92">
        <f>D73-D75</f>
        <v>0</v>
      </c>
    </row>
    <row r="78" spans="1:8" x14ac:dyDescent="0.25">
      <c r="B78" s="46"/>
    </row>
  </sheetData>
  <pageMargins left="0.2" right="0.2" top="0.34" bottom="0.28999999999999998" header="0.24" footer="0.21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2"/>
  <sheetViews>
    <sheetView topLeftCell="A43" zoomScale="120" zoomScaleNormal="120" workbookViewId="0">
      <selection activeCell="A77" sqref="A77"/>
    </sheetView>
  </sheetViews>
  <sheetFormatPr defaultColWidth="8.85546875" defaultRowHeight="15.75" x14ac:dyDescent="0.25"/>
  <cols>
    <col min="1" max="1" width="74.5703125" style="12" bestFit="1" customWidth="1"/>
    <col min="2" max="4" width="15.5703125" style="12" bestFit="1" customWidth="1"/>
  </cols>
  <sheetData>
    <row r="1" spans="1:4" x14ac:dyDescent="0.25">
      <c r="A1" s="29" t="s">
        <v>74</v>
      </c>
    </row>
    <row r="3" spans="1:4" x14ac:dyDescent="0.25">
      <c r="A3" s="184" t="s">
        <v>131</v>
      </c>
    </row>
    <row r="4" spans="1:4" ht="16.5" thickBot="1" x14ac:dyDescent="0.3">
      <c r="A4" s="135" t="s">
        <v>1</v>
      </c>
    </row>
    <row r="5" spans="1:4" x14ac:dyDescent="0.25">
      <c r="A5" s="136" t="s">
        <v>0</v>
      </c>
      <c r="B5" s="139">
        <v>2027</v>
      </c>
      <c r="C5" s="139">
        <v>2028</v>
      </c>
      <c r="D5" s="140">
        <v>2029</v>
      </c>
    </row>
    <row r="6" spans="1:4" x14ac:dyDescent="0.25">
      <c r="A6" s="132" t="s">
        <v>51</v>
      </c>
      <c r="B6" s="115">
        <f>222800+30168-20000-5000+20000-100000+10000-20000-30000+1200-15000</f>
        <v>94168</v>
      </c>
      <c r="C6" s="115">
        <f t="shared" ref="C6:D6" si="0">222800+30168-20000-5000+20000-100000+10000-20000-30000</f>
        <v>107968</v>
      </c>
      <c r="D6" s="116">
        <f t="shared" si="0"/>
        <v>107968</v>
      </c>
    </row>
    <row r="7" spans="1:4" x14ac:dyDescent="0.25">
      <c r="A7" s="132" t="s">
        <v>52</v>
      </c>
      <c r="B7" s="115">
        <v>20000</v>
      </c>
      <c r="C7" s="115">
        <v>20000</v>
      </c>
      <c r="D7" s="116">
        <v>20000</v>
      </c>
    </row>
    <row r="8" spans="1:4" x14ac:dyDescent="0.25">
      <c r="A8" s="132" t="s">
        <v>81</v>
      </c>
      <c r="B8" s="115">
        <v>40000</v>
      </c>
      <c r="C8" s="115">
        <v>40000</v>
      </c>
      <c r="D8" s="116">
        <v>40000</v>
      </c>
    </row>
    <row r="9" spans="1:4" x14ac:dyDescent="0.25">
      <c r="A9" s="132" t="s">
        <v>65</v>
      </c>
      <c r="B9" s="115">
        <v>60000</v>
      </c>
      <c r="C9" s="115">
        <v>60000</v>
      </c>
      <c r="D9" s="116">
        <v>60000</v>
      </c>
    </row>
    <row r="10" spans="1:4" x14ac:dyDescent="0.25">
      <c r="A10" s="132" t="s">
        <v>64</v>
      </c>
      <c r="B10" s="115">
        <f>30000+5000</f>
        <v>35000</v>
      </c>
      <c r="C10" s="115">
        <f t="shared" ref="C10:D10" si="1">30000+5000</f>
        <v>35000</v>
      </c>
      <c r="D10" s="116">
        <f t="shared" si="1"/>
        <v>35000</v>
      </c>
    </row>
    <row r="11" spans="1:4" x14ac:dyDescent="0.25">
      <c r="A11" s="12" t="s">
        <v>200</v>
      </c>
      <c r="B11" s="115">
        <v>15000</v>
      </c>
      <c r="C11" s="115">
        <v>0</v>
      </c>
      <c r="D11" s="116">
        <v>0</v>
      </c>
    </row>
    <row r="12" spans="1:4" ht="16.5" thickBot="1" x14ac:dyDescent="0.3">
      <c r="A12" s="137"/>
      <c r="B12" s="117">
        <f>SUM(B6:B11)</f>
        <v>264168</v>
      </c>
      <c r="C12" s="117">
        <f>SUM(C6:C11)</f>
        <v>262968</v>
      </c>
      <c r="D12" s="118">
        <f>SUM(D6:D11)</f>
        <v>262968</v>
      </c>
    </row>
    <row r="13" spans="1:4" x14ac:dyDescent="0.25">
      <c r="A13" s="134"/>
      <c r="B13" s="141"/>
      <c r="C13" s="141"/>
      <c r="D13" s="141"/>
    </row>
    <row r="14" spans="1:4" ht="16.5" thickBot="1" x14ac:dyDescent="0.3">
      <c r="A14" s="135" t="s">
        <v>95</v>
      </c>
      <c r="B14" s="142"/>
      <c r="C14" s="142"/>
      <c r="D14" s="142"/>
    </row>
    <row r="15" spans="1:4" x14ac:dyDescent="0.25">
      <c r="A15" s="136" t="s">
        <v>0</v>
      </c>
      <c r="B15" s="139">
        <v>2027</v>
      </c>
      <c r="C15" s="139">
        <v>2028</v>
      </c>
      <c r="D15" s="140">
        <v>2029</v>
      </c>
    </row>
    <row r="16" spans="1:4" x14ac:dyDescent="0.25">
      <c r="A16" s="131" t="s">
        <v>69</v>
      </c>
      <c r="B16" s="113">
        <v>10000</v>
      </c>
      <c r="C16" s="113">
        <v>10000</v>
      </c>
      <c r="D16" s="114">
        <v>10000</v>
      </c>
    </row>
    <row r="17" spans="1:4" ht="16.5" thickBot="1" x14ac:dyDescent="0.3">
      <c r="A17" s="137"/>
      <c r="B17" s="117">
        <f t="shared" ref="B17:D17" si="2">+B16</f>
        <v>10000</v>
      </c>
      <c r="C17" s="117">
        <f t="shared" si="2"/>
        <v>10000</v>
      </c>
      <c r="D17" s="118">
        <f t="shared" si="2"/>
        <v>10000</v>
      </c>
    </row>
    <row r="18" spans="1:4" x14ac:dyDescent="0.25">
      <c r="A18" s="134"/>
      <c r="B18" s="141"/>
      <c r="C18" s="141"/>
      <c r="D18" s="141"/>
    </row>
    <row r="19" spans="1:4" ht="16.5" thickBot="1" x14ac:dyDescent="0.3">
      <c r="A19" s="135" t="s">
        <v>53</v>
      </c>
      <c r="B19" s="143"/>
      <c r="C19" s="143"/>
      <c r="D19" s="143"/>
    </row>
    <row r="20" spans="1:4" x14ac:dyDescent="0.25">
      <c r="A20" s="136" t="s">
        <v>0</v>
      </c>
      <c r="B20" s="139">
        <v>2027</v>
      </c>
      <c r="C20" s="139">
        <v>2028</v>
      </c>
      <c r="D20" s="140">
        <v>2029</v>
      </c>
    </row>
    <row r="21" spans="1:4" ht="15.6" x14ac:dyDescent="0.3">
      <c r="A21" s="131" t="s">
        <v>269</v>
      </c>
      <c r="B21" s="113">
        <v>63000</v>
      </c>
      <c r="C21" s="113">
        <v>63000</v>
      </c>
      <c r="D21" s="114">
        <v>63000</v>
      </c>
    </row>
    <row r="22" spans="1:4" ht="16.149999999999999" thickBot="1" x14ac:dyDescent="0.35">
      <c r="A22" s="137"/>
      <c r="B22" s="117">
        <f>SUM(B21:B21)</f>
        <v>63000</v>
      </c>
      <c r="C22" s="117">
        <f>SUM(C21:C21)</f>
        <v>63000</v>
      </c>
      <c r="D22" s="118">
        <f>SUM(D21:D21)</f>
        <v>63000</v>
      </c>
    </row>
    <row r="23" spans="1:4" x14ac:dyDescent="0.25">
      <c r="A23" s="134"/>
      <c r="B23" s="141"/>
      <c r="C23" s="141"/>
      <c r="D23" s="141"/>
    </row>
    <row r="24" spans="1:4" ht="16.5" thickBot="1" x14ac:dyDescent="0.3">
      <c r="A24" s="135" t="s">
        <v>66</v>
      </c>
      <c r="B24" s="143"/>
      <c r="C24" s="143"/>
      <c r="D24" s="143"/>
    </row>
    <row r="25" spans="1:4" ht="15.6" x14ac:dyDescent="0.3">
      <c r="A25" s="136" t="s">
        <v>0</v>
      </c>
      <c r="B25" s="139">
        <v>2027</v>
      </c>
      <c r="C25" s="139">
        <v>2028</v>
      </c>
      <c r="D25" s="140">
        <v>2029</v>
      </c>
    </row>
    <row r="26" spans="1:4" x14ac:dyDescent="0.25">
      <c r="A26" s="133" t="s">
        <v>261</v>
      </c>
      <c r="B26" s="113">
        <v>650000</v>
      </c>
      <c r="C26" s="113">
        <v>650000</v>
      </c>
      <c r="D26" s="114">
        <v>650000</v>
      </c>
    </row>
    <row r="27" spans="1:4" ht="31.5" x14ac:dyDescent="0.25">
      <c r="A27" s="237" t="s">
        <v>272</v>
      </c>
      <c r="B27" s="235">
        <v>20000</v>
      </c>
      <c r="C27" s="235">
        <v>18000</v>
      </c>
      <c r="D27" s="236">
        <v>18000</v>
      </c>
    </row>
    <row r="28" spans="1:4" ht="15.6" x14ac:dyDescent="0.3">
      <c r="A28" s="237" t="s">
        <v>262</v>
      </c>
      <c r="B28" s="235">
        <v>10000</v>
      </c>
      <c r="C28" s="235">
        <v>10000</v>
      </c>
      <c r="D28" s="236">
        <v>10000</v>
      </c>
    </row>
    <row r="29" spans="1:4" ht="15.6" x14ac:dyDescent="0.3">
      <c r="A29" s="237" t="s">
        <v>263</v>
      </c>
      <c r="B29" s="235">
        <v>100000</v>
      </c>
      <c r="C29" s="235">
        <v>40000</v>
      </c>
      <c r="D29" s="236">
        <v>40000</v>
      </c>
    </row>
    <row r="30" spans="1:4" ht="15.6" x14ac:dyDescent="0.3">
      <c r="A30" s="237" t="s">
        <v>264</v>
      </c>
      <c r="B30" s="235">
        <v>200000</v>
      </c>
      <c r="C30" s="235">
        <v>40000</v>
      </c>
      <c r="D30" s="236">
        <v>40000</v>
      </c>
    </row>
    <row r="31" spans="1:4" ht="15.6" x14ac:dyDescent="0.3">
      <c r="A31" s="237" t="s">
        <v>265</v>
      </c>
      <c r="B31" s="235">
        <v>120000</v>
      </c>
      <c r="C31" s="235">
        <v>57000</v>
      </c>
      <c r="D31" s="236">
        <v>57000</v>
      </c>
    </row>
    <row r="32" spans="1:4" x14ac:dyDescent="0.25">
      <c r="A32" s="237"/>
      <c r="B32" s="235"/>
      <c r="C32" s="235"/>
      <c r="D32" s="236"/>
    </row>
    <row r="33" spans="1:4" ht="16.5" thickBot="1" x14ac:dyDescent="0.3">
      <c r="A33" s="137"/>
      <c r="B33" s="117">
        <f>SUM(B26:B32)</f>
        <v>1100000</v>
      </c>
      <c r="C33" s="117">
        <f>SUM(C26:C32)</f>
        <v>815000</v>
      </c>
      <c r="D33" s="118">
        <f>SUM(D26:D32)</f>
        <v>815000</v>
      </c>
    </row>
    <row r="34" spans="1:4" x14ac:dyDescent="0.25">
      <c r="A34" s="134"/>
      <c r="B34" s="141"/>
      <c r="C34" s="141"/>
      <c r="D34" s="141"/>
    </row>
    <row r="35" spans="1:4" ht="16.5" thickBot="1" x14ac:dyDescent="0.3">
      <c r="A35" s="135" t="s">
        <v>82</v>
      </c>
      <c r="B35" s="141"/>
      <c r="C35" s="141"/>
      <c r="D35" s="141"/>
    </row>
    <row r="36" spans="1:4" x14ac:dyDescent="0.25">
      <c r="A36" s="136" t="s">
        <v>0</v>
      </c>
      <c r="B36" s="139">
        <v>2027</v>
      </c>
      <c r="C36" s="139">
        <v>2028</v>
      </c>
      <c r="D36" s="140">
        <v>2029</v>
      </c>
    </row>
    <row r="37" spans="1:4" x14ac:dyDescent="0.25">
      <c r="A37" s="131" t="s">
        <v>83</v>
      </c>
      <c r="B37" s="113">
        <v>35000</v>
      </c>
      <c r="C37" s="113">
        <v>40000</v>
      </c>
      <c r="D37" s="114">
        <v>40000</v>
      </c>
    </row>
    <row r="38" spans="1:4" x14ac:dyDescent="0.25">
      <c r="A38" s="131" t="s">
        <v>97</v>
      </c>
      <c r="B38" s="113">
        <v>65000</v>
      </c>
      <c r="C38" s="113">
        <v>65000</v>
      </c>
      <c r="D38" s="114">
        <v>65000</v>
      </c>
    </row>
    <row r="39" spans="1:4" ht="16.5" thickBot="1" x14ac:dyDescent="0.3">
      <c r="A39" s="137"/>
      <c r="B39" s="117">
        <f>SUM(B37:B38)</f>
        <v>100000</v>
      </c>
      <c r="C39" s="117">
        <f>SUM(C37:C38)</f>
        <v>105000</v>
      </c>
      <c r="D39" s="118">
        <f>SUM(D37:D38)</f>
        <v>105000</v>
      </c>
    </row>
    <row r="40" spans="1:4" x14ac:dyDescent="0.25">
      <c r="A40" s="233"/>
      <c r="B40" s="234"/>
      <c r="C40" s="234"/>
      <c r="D40" s="234"/>
    </row>
    <row r="41" spans="1:4" x14ac:dyDescent="0.25">
      <c r="A41" s="134"/>
      <c r="B41" s="141"/>
      <c r="C41" s="141"/>
      <c r="D41" s="141"/>
    </row>
    <row r="42" spans="1:4" ht="16.5" thickBot="1" x14ac:dyDescent="0.3">
      <c r="A42" s="135" t="s">
        <v>67</v>
      </c>
      <c r="B42" s="143"/>
      <c r="C42" s="143"/>
      <c r="D42" s="143"/>
    </row>
    <row r="43" spans="1:4" x14ac:dyDescent="0.25">
      <c r="A43" s="136" t="s">
        <v>0</v>
      </c>
      <c r="B43" s="139">
        <v>2027</v>
      </c>
      <c r="C43" s="139">
        <v>2028</v>
      </c>
      <c r="D43" s="140">
        <v>2029</v>
      </c>
    </row>
    <row r="44" spans="1:4" x14ac:dyDescent="0.25">
      <c r="A44" s="131" t="s">
        <v>89</v>
      </c>
      <c r="B44" s="113">
        <v>81000</v>
      </c>
      <c r="C44" s="113">
        <v>81000</v>
      </c>
      <c r="D44" s="114">
        <v>81000</v>
      </c>
    </row>
    <row r="45" spans="1:4" x14ac:dyDescent="0.25">
      <c r="A45" s="131" t="s">
        <v>100</v>
      </c>
      <c r="B45" s="113">
        <v>9000</v>
      </c>
      <c r="C45" s="113">
        <v>9000</v>
      </c>
      <c r="D45" s="114">
        <v>9000</v>
      </c>
    </row>
    <row r="46" spans="1:4" ht="16.5" thickBot="1" x14ac:dyDescent="0.3">
      <c r="A46" s="137"/>
      <c r="B46" s="117">
        <f>+B44+B45</f>
        <v>90000</v>
      </c>
      <c r="C46" s="117">
        <f>+C44+C45</f>
        <v>90000</v>
      </c>
      <c r="D46" s="118">
        <f>+D44+D45</f>
        <v>90000</v>
      </c>
    </row>
    <row r="47" spans="1:4" x14ac:dyDescent="0.25">
      <c r="A47" s="134"/>
      <c r="B47" s="144"/>
      <c r="C47" s="144"/>
      <c r="D47" s="144"/>
    </row>
    <row r="48" spans="1:4" ht="16.5" thickBot="1" x14ac:dyDescent="0.3">
      <c r="A48" s="135" t="s">
        <v>54</v>
      </c>
      <c r="B48" s="143"/>
      <c r="C48" s="143"/>
      <c r="D48" s="143"/>
    </row>
    <row r="49" spans="1:4" x14ac:dyDescent="0.25">
      <c r="A49" s="136" t="s">
        <v>0</v>
      </c>
      <c r="B49" s="139">
        <v>2027</v>
      </c>
      <c r="C49" s="139">
        <v>2028</v>
      </c>
      <c r="D49" s="140">
        <v>2029</v>
      </c>
    </row>
    <row r="50" spans="1:4" x14ac:dyDescent="0.25">
      <c r="A50" s="131" t="s">
        <v>84</v>
      </c>
      <c r="B50" s="113">
        <v>222832</v>
      </c>
      <c r="C50" s="113">
        <v>222832</v>
      </c>
      <c r="D50" s="114">
        <v>222832</v>
      </c>
    </row>
    <row r="51" spans="1:4" ht="33.75" customHeight="1" x14ac:dyDescent="0.25">
      <c r="A51" s="112" t="s">
        <v>87</v>
      </c>
      <c r="B51" s="115">
        <v>10000</v>
      </c>
      <c r="C51" s="115">
        <v>10000</v>
      </c>
      <c r="D51" s="116">
        <v>10000</v>
      </c>
    </row>
    <row r="52" spans="1:4" x14ac:dyDescent="0.25">
      <c r="A52" s="132" t="s">
        <v>85</v>
      </c>
      <c r="B52" s="115">
        <v>10000</v>
      </c>
      <c r="C52" s="115">
        <v>10000</v>
      </c>
      <c r="D52" s="116">
        <v>10000</v>
      </c>
    </row>
    <row r="53" spans="1:4" x14ac:dyDescent="0.25">
      <c r="A53" s="131" t="s">
        <v>86</v>
      </c>
      <c r="B53" s="113">
        <v>5000</v>
      </c>
      <c r="C53" s="113">
        <v>5000</v>
      </c>
      <c r="D53" s="114">
        <v>5000</v>
      </c>
    </row>
    <row r="54" spans="1:4" x14ac:dyDescent="0.25">
      <c r="A54" s="131" t="s">
        <v>88</v>
      </c>
      <c r="B54" s="113">
        <v>3000</v>
      </c>
      <c r="C54" s="113">
        <v>3000</v>
      </c>
      <c r="D54" s="114">
        <v>3000</v>
      </c>
    </row>
    <row r="55" spans="1:4" x14ac:dyDescent="0.25">
      <c r="A55" s="131" t="s">
        <v>93</v>
      </c>
      <c r="B55" s="113">
        <v>52626</v>
      </c>
      <c r="C55" s="113">
        <v>52626</v>
      </c>
      <c r="D55" s="114">
        <v>52626</v>
      </c>
    </row>
    <row r="56" spans="1:4" ht="16.5" thickBot="1" x14ac:dyDescent="0.3">
      <c r="A56" s="137"/>
      <c r="B56" s="117">
        <f>SUM(B50:B55)</f>
        <v>303458</v>
      </c>
      <c r="C56" s="117">
        <f>SUM(C50:C55)</f>
        <v>303458</v>
      </c>
      <c r="D56" s="118">
        <f>SUM(D50:D55)</f>
        <v>303458</v>
      </c>
    </row>
    <row r="57" spans="1:4" ht="16.5" thickBot="1" x14ac:dyDescent="0.3">
      <c r="A57" s="138" t="s">
        <v>99</v>
      </c>
      <c r="B57" s="119">
        <f>+B12+B17+B22+B33+B39+B46+B56</f>
        <v>1930626</v>
      </c>
      <c r="C57" s="120">
        <f>+C12+C17+C22+C33+C39+C46+C56</f>
        <v>1649426</v>
      </c>
      <c r="D57" s="121">
        <f>+D12+D17+D22+D33+D39+D46+D56</f>
        <v>1649426</v>
      </c>
    </row>
    <row r="58" spans="1:4" x14ac:dyDescent="0.25">
      <c r="B58" s="122"/>
      <c r="C58" s="123"/>
      <c r="D58" s="124"/>
    </row>
    <row r="59" spans="1:4" x14ac:dyDescent="0.25">
      <c r="B59" s="125">
        <v>1930626</v>
      </c>
      <c r="C59" s="126">
        <v>1649426</v>
      </c>
      <c r="D59" s="127">
        <v>1649426</v>
      </c>
    </row>
    <row r="60" spans="1:4" ht="16.5" thickBot="1" x14ac:dyDescent="0.3">
      <c r="B60" s="128">
        <f t="shared" ref="B60:D60" si="3">B57-B59</f>
        <v>0</v>
      </c>
      <c r="C60" s="129">
        <f t="shared" si="3"/>
        <v>0</v>
      </c>
      <c r="D60" s="130">
        <f t="shared" si="3"/>
        <v>0</v>
      </c>
    </row>
    <row r="62" spans="1:4" x14ac:dyDescent="0.25">
      <c r="B62" s="46"/>
    </row>
  </sheetData>
  <pageMargins left="0.7" right="0.7" top="0.2" bottom="0.43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99"/>
  <sheetViews>
    <sheetView topLeftCell="A82" workbookViewId="0">
      <selection activeCell="C89" sqref="C89"/>
    </sheetView>
  </sheetViews>
  <sheetFormatPr defaultRowHeight="15" x14ac:dyDescent="0.25"/>
  <cols>
    <col min="1" max="1" width="4.140625" style="193" bestFit="1" customWidth="1"/>
    <col min="2" max="2" width="7.28515625" style="193" customWidth="1"/>
    <col min="3" max="3" width="66" style="49" bestFit="1" customWidth="1"/>
    <col min="4" max="6" width="17.5703125" style="193" bestFit="1" customWidth="1"/>
    <col min="7" max="7" width="14.28515625" bestFit="1" customWidth="1"/>
    <col min="9" max="9" width="31.7109375" bestFit="1" customWidth="1"/>
    <col min="11" max="11" width="12" bestFit="1" customWidth="1"/>
    <col min="12" max="12" width="13.140625" bestFit="1" customWidth="1"/>
  </cols>
  <sheetData>
    <row r="1" spans="1:12" ht="30" customHeight="1" thickBot="1" x14ac:dyDescent="0.3">
      <c r="A1" s="189" t="s">
        <v>159</v>
      </c>
      <c r="B1" s="50" t="s">
        <v>160</v>
      </c>
      <c r="C1" s="217" t="s">
        <v>161</v>
      </c>
      <c r="D1" s="215">
        <v>2027</v>
      </c>
      <c r="E1" s="294">
        <v>2028</v>
      </c>
      <c r="F1" s="216">
        <v>2029</v>
      </c>
    </row>
    <row r="2" spans="1:12" ht="16.149999999999999" thickBot="1" x14ac:dyDescent="0.35">
      <c r="A2" s="208"/>
      <c r="B2" s="207"/>
      <c r="C2" s="218"/>
      <c r="D2" s="219"/>
      <c r="E2" s="220"/>
      <c r="F2" s="221"/>
    </row>
    <row r="3" spans="1:12" ht="30" customHeight="1" thickBot="1" x14ac:dyDescent="0.3">
      <c r="A3" s="226" t="s">
        <v>124</v>
      </c>
      <c r="B3" s="231"/>
      <c r="C3" s="214" t="s">
        <v>162</v>
      </c>
      <c r="D3" s="298">
        <f>+D4+D5+D6</f>
        <v>748156</v>
      </c>
      <c r="E3" s="298">
        <f t="shared" ref="E3:F3" si="0">+E4+E5+E6</f>
        <v>942000</v>
      </c>
      <c r="F3" s="298">
        <f t="shared" si="0"/>
        <v>0</v>
      </c>
    </row>
    <row r="4" spans="1:12" ht="30" customHeight="1" x14ac:dyDescent="0.25">
      <c r="A4" s="238">
        <v>1</v>
      </c>
      <c r="B4" s="239">
        <v>54325</v>
      </c>
      <c r="C4" s="240" t="s">
        <v>202</v>
      </c>
      <c r="D4" s="241">
        <f>120000+69240-9000-77084</f>
        <v>103156</v>
      </c>
      <c r="E4" s="241">
        <v>0</v>
      </c>
      <c r="F4" s="242">
        <v>0</v>
      </c>
      <c r="H4" s="243"/>
      <c r="I4" t="s">
        <v>267</v>
      </c>
    </row>
    <row r="5" spans="1:12" ht="32.25" thickBot="1" x14ac:dyDescent="0.3">
      <c r="A5" s="245">
        <v>2</v>
      </c>
      <c r="B5" s="246">
        <v>55800</v>
      </c>
      <c r="C5" s="247" t="s">
        <v>163</v>
      </c>
      <c r="D5" s="248">
        <f>927000+200000-42000-400000-100000</f>
        <v>585000</v>
      </c>
      <c r="E5" s="248">
        <f>400000+42000+400000-100000+200000</f>
        <v>942000</v>
      </c>
      <c r="F5" s="249">
        <v>0</v>
      </c>
      <c r="H5" s="244"/>
      <c r="I5" t="s">
        <v>268</v>
      </c>
    </row>
    <row r="6" spans="1:12" ht="26.25" customHeight="1" thickBot="1" x14ac:dyDescent="0.3">
      <c r="A6" s="250">
        <v>3</v>
      </c>
      <c r="B6" s="251"/>
      <c r="C6" s="300" t="s">
        <v>274</v>
      </c>
      <c r="D6" s="252">
        <v>60000</v>
      </c>
      <c r="E6" s="252"/>
      <c r="F6" s="253"/>
    </row>
    <row r="7" spans="1:12" ht="30" customHeight="1" thickBot="1" x14ac:dyDescent="0.3">
      <c r="A7" s="226"/>
      <c r="B7" s="231"/>
      <c r="C7" s="232" t="s">
        <v>164</v>
      </c>
      <c r="D7" s="299">
        <f>+D8</f>
        <v>700000</v>
      </c>
      <c r="E7" s="299">
        <f t="shared" ref="E7:F7" si="1">+E8</f>
        <v>700000</v>
      </c>
      <c r="F7" s="299">
        <f t="shared" si="1"/>
        <v>700000</v>
      </c>
      <c r="K7" s="296"/>
    </row>
    <row r="8" spans="1:12" ht="30" customHeight="1" thickBot="1" x14ac:dyDescent="0.3">
      <c r="A8" s="254">
        <v>4</v>
      </c>
      <c r="B8" s="255">
        <v>20698</v>
      </c>
      <c r="C8" s="256" t="s">
        <v>165</v>
      </c>
      <c r="D8" s="257">
        <v>700000</v>
      </c>
      <c r="E8" s="257">
        <v>700000</v>
      </c>
      <c r="F8" s="258">
        <v>700000</v>
      </c>
      <c r="I8" s="293"/>
      <c r="L8" s="296"/>
    </row>
    <row r="9" spans="1:12" ht="30" customHeight="1" thickBot="1" x14ac:dyDescent="0.3">
      <c r="A9" s="226" t="s">
        <v>124</v>
      </c>
      <c r="B9" s="231"/>
      <c r="C9" s="232" t="s">
        <v>166</v>
      </c>
      <c r="D9" s="299">
        <f>+D10+D11+D12+D13+D14+D15+D16+D17+D18+D19+D20+D21+D22+D23+D24+D25+D26+D27+D28+D29+D30+D31+D32+D33+D34+D35+D36+D37+D38+D39+D40+D41+D42+D43+D44+D45+D46+D47+D48+D49+D50+D51+D52+D53+D54</f>
        <v>9103262.870000001</v>
      </c>
      <c r="E9" s="299">
        <f t="shared" ref="E9:F9" si="2">+E10+E11+E12+E13+E14+E15+E16+E17+E18+E19+E20+E21+E22+E23+E24+E25+E26+E27+E28+E29+E30+E31+E32+E33+E34+E35+E36+E37+E38+E39+E40+E41+E42+E43+E44+E45+E46+E47+E48+E49+E50+E51+E52+E53+E54</f>
        <v>11124580</v>
      </c>
      <c r="F9" s="299">
        <f t="shared" si="2"/>
        <v>10440000</v>
      </c>
      <c r="L9" s="296"/>
    </row>
    <row r="10" spans="1:12" ht="30" customHeight="1" x14ac:dyDescent="0.25">
      <c r="A10" s="262">
        <v>5</v>
      </c>
      <c r="B10" s="263">
        <v>55878</v>
      </c>
      <c r="C10" s="264" t="s">
        <v>206</v>
      </c>
      <c r="D10" s="265">
        <v>139208</v>
      </c>
      <c r="E10" s="265">
        <v>0</v>
      </c>
      <c r="F10" s="266">
        <v>0</v>
      </c>
    </row>
    <row r="11" spans="1:12" ht="30" customHeight="1" x14ac:dyDescent="0.25">
      <c r="A11" s="262">
        <v>6</v>
      </c>
      <c r="B11" s="263">
        <v>55905</v>
      </c>
      <c r="C11" s="264" t="s">
        <v>207</v>
      </c>
      <c r="D11" s="265">
        <f>629750-200000-100000+3468</f>
        <v>333218</v>
      </c>
      <c r="E11" s="265">
        <f>440000</f>
        <v>440000</v>
      </c>
      <c r="F11" s="266">
        <v>0</v>
      </c>
      <c r="I11" s="296"/>
    </row>
    <row r="12" spans="1:12" ht="30" customHeight="1" x14ac:dyDescent="0.25">
      <c r="A12" s="262">
        <v>7</v>
      </c>
      <c r="B12" s="263">
        <v>55989</v>
      </c>
      <c r="C12" s="264" t="s">
        <v>168</v>
      </c>
      <c r="D12" s="265">
        <v>247000</v>
      </c>
      <c r="E12" s="265">
        <v>0</v>
      </c>
      <c r="F12" s="266">
        <v>0</v>
      </c>
    </row>
    <row r="13" spans="1:12" ht="30" customHeight="1" x14ac:dyDescent="0.25">
      <c r="A13" s="262">
        <v>8</v>
      </c>
      <c r="B13" s="263">
        <v>55990</v>
      </c>
      <c r="C13" s="264" t="s">
        <v>169</v>
      </c>
      <c r="D13" s="265">
        <v>242000</v>
      </c>
      <c r="E13" s="265">
        <v>200000</v>
      </c>
      <c r="F13" s="266">
        <v>0</v>
      </c>
    </row>
    <row r="14" spans="1:12" ht="30" customHeight="1" x14ac:dyDescent="0.25">
      <c r="A14" s="262">
        <v>9</v>
      </c>
      <c r="B14" s="263">
        <v>55991</v>
      </c>
      <c r="C14" s="264" t="s">
        <v>170</v>
      </c>
      <c r="D14" s="265">
        <v>586000</v>
      </c>
      <c r="E14" s="265">
        <v>0</v>
      </c>
      <c r="F14" s="266">
        <v>0</v>
      </c>
    </row>
    <row r="15" spans="1:12" ht="30" customHeight="1" x14ac:dyDescent="0.25">
      <c r="A15" s="262">
        <v>10</v>
      </c>
      <c r="B15" s="239">
        <v>20693</v>
      </c>
      <c r="C15" s="284" t="s">
        <v>203</v>
      </c>
      <c r="D15" s="241">
        <v>250000</v>
      </c>
      <c r="E15" s="241">
        <v>650000</v>
      </c>
      <c r="F15" s="242">
        <v>0</v>
      </c>
    </row>
    <row r="16" spans="1:12" ht="30" customHeight="1" x14ac:dyDescent="0.25">
      <c r="A16" s="262">
        <v>11</v>
      </c>
      <c r="B16" s="263">
        <v>55807</v>
      </c>
      <c r="C16" s="264" t="s">
        <v>204</v>
      </c>
      <c r="D16" s="265">
        <v>441111</v>
      </c>
      <c r="E16" s="265">
        <v>0</v>
      </c>
      <c r="F16" s="266">
        <v>0</v>
      </c>
      <c r="G16" s="48"/>
    </row>
    <row r="17" spans="1:9" ht="30" customHeight="1" x14ac:dyDescent="0.25">
      <c r="A17" s="262">
        <v>12</v>
      </c>
      <c r="B17" s="263">
        <v>56060</v>
      </c>
      <c r="C17" s="272" t="s">
        <v>210</v>
      </c>
      <c r="D17" s="265">
        <v>300000</v>
      </c>
      <c r="E17" s="265">
        <f>300000+104180</f>
        <v>404180</v>
      </c>
      <c r="F17" s="266">
        <v>0</v>
      </c>
      <c r="I17" s="296"/>
    </row>
    <row r="18" spans="1:9" ht="30" customHeight="1" x14ac:dyDescent="0.25">
      <c r="A18" s="262">
        <v>13</v>
      </c>
      <c r="B18" s="263">
        <v>56142</v>
      </c>
      <c r="C18" s="272" t="s">
        <v>171</v>
      </c>
      <c r="D18" s="265">
        <f>550000+697000-200000-100000</f>
        <v>947000</v>
      </c>
      <c r="E18" s="265">
        <f>200000+800000+100000</f>
        <v>1100000</v>
      </c>
      <c r="F18" s="266">
        <v>800000</v>
      </c>
      <c r="I18" s="296"/>
    </row>
    <row r="19" spans="1:9" ht="30" customHeight="1" x14ac:dyDescent="0.25">
      <c r="A19" s="262">
        <v>14</v>
      </c>
      <c r="B19" s="263">
        <v>56143</v>
      </c>
      <c r="C19" s="272" t="s">
        <v>211</v>
      </c>
      <c r="D19" s="265">
        <f>740000</f>
        <v>740000</v>
      </c>
      <c r="E19" s="265">
        <f>1200000+100000-200000-100000</f>
        <v>1000000</v>
      </c>
      <c r="F19" s="266">
        <v>0</v>
      </c>
    </row>
    <row r="20" spans="1:9" ht="30" customHeight="1" x14ac:dyDescent="0.25">
      <c r="A20" s="262">
        <v>15</v>
      </c>
      <c r="B20" s="263">
        <v>56164</v>
      </c>
      <c r="C20" s="264" t="s">
        <v>212</v>
      </c>
      <c r="D20" s="265">
        <f>250000-100000</f>
        <v>150000</v>
      </c>
      <c r="E20" s="265">
        <f>321000+100000</f>
        <v>421000</v>
      </c>
      <c r="F20" s="266">
        <v>0</v>
      </c>
    </row>
    <row r="21" spans="1:9" ht="30" customHeight="1" x14ac:dyDescent="0.25">
      <c r="A21" s="262">
        <v>16</v>
      </c>
      <c r="B21" s="263">
        <v>20722</v>
      </c>
      <c r="C21" s="272" t="s">
        <v>173</v>
      </c>
      <c r="D21" s="265">
        <v>328110</v>
      </c>
      <c r="E21" s="265">
        <v>400000</v>
      </c>
      <c r="F21" s="266">
        <v>730000</v>
      </c>
    </row>
    <row r="22" spans="1:9" ht="30" customHeight="1" x14ac:dyDescent="0.25">
      <c r="A22" s="262">
        <v>17</v>
      </c>
      <c r="B22" s="263">
        <v>20811</v>
      </c>
      <c r="C22" s="272" t="s">
        <v>214</v>
      </c>
      <c r="D22" s="265">
        <f>300000+330000-200000</f>
        <v>430000</v>
      </c>
      <c r="E22" s="265">
        <v>400000</v>
      </c>
      <c r="F22" s="266">
        <v>730000</v>
      </c>
    </row>
    <row r="23" spans="1:9" ht="30" customHeight="1" x14ac:dyDescent="0.25">
      <c r="A23" s="262">
        <v>18</v>
      </c>
      <c r="B23" s="263">
        <v>20812</v>
      </c>
      <c r="C23" s="272" t="s">
        <v>217</v>
      </c>
      <c r="D23" s="265">
        <v>300000</v>
      </c>
      <c r="E23" s="265">
        <v>400000</v>
      </c>
      <c r="F23" s="266">
        <v>730000</v>
      </c>
    </row>
    <row r="24" spans="1:9" ht="30" customHeight="1" x14ac:dyDescent="0.25">
      <c r="A24" s="262">
        <v>19</v>
      </c>
      <c r="B24" s="263">
        <v>54660</v>
      </c>
      <c r="C24" s="264" t="s">
        <v>215</v>
      </c>
      <c r="D24" s="265">
        <v>138683</v>
      </c>
      <c r="E24" s="265">
        <v>100000</v>
      </c>
      <c r="F24" s="266">
        <v>0</v>
      </c>
    </row>
    <row r="25" spans="1:9" ht="30" customHeight="1" x14ac:dyDescent="0.25">
      <c r="A25" s="262">
        <v>20</v>
      </c>
      <c r="B25" s="263">
        <v>54664</v>
      </c>
      <c r="C25" s="264" t="s">
        <v>125</v>
      </c>
      <c r="D25" s="265">
        <v>300000</v>
      </c>
      <c r="E25" s="265">
        <v>167400</v>
      </c>
      <c r="F25" s="266">
        <v>0</v>
      </c>
    </row>
    <row r="26" spans="1:9" ht="30" customHeight="1" x14ac:dyDescent="0.25">
      <c r="A26" s="262">
        <v>21</v>
      </c>
      <c r="B26" s="263">
        <v>54632</v>
      </c>
      <c r="C26" s="264" t="s">
        <v>216</v>
      </c>
      <c r="D26" s="265">
        <f>300000-100000</f>
        <v>200000</v>
      </c>
      <c r="E26" s="265">
        <f>437000+100000</f>
        <v>537000</v>
      </c>
      <c r="F26" s="266">
        <v>0</v>
      </c>
    </row>
    <row r="27" spans="1:9" ht="31.5" x14ac:dyDescent="0.25">
      <c r="A27" s="262">
        <v>22</v>
      </c>
      <c r="B27" s="263">
        <v>54649</v>
      </c>
      <c r="C27" s="272" t="s">
        <v>218</v>
      </c>
      <c r="D27" s="265">
        <v>79393.240000000005</v>
      </c>
      <c r="E27" s="265">
        <v>50000</v>
      </c>
      <c r="F27" s="266">
        <v>0</v>
      </c>
    </row>
    <row r="28" spans="1:9" ht="47.25" x14ac:dyDescent="0.25">
      <c r="A28" s="262">
        <v>23</v>
      </c>
      <c r="B28" s="263">
        <v>55839</v>
      </c>
      <c r="C28" s="272" t="s">
        <v>219</v>
      </c>
      <c r="D28" s="265">
        <v>100000</v>
      </c>
      <c r="E28" s="265">
        <v>50000</v>
      </c>
      <c r="F28" s="266">
        <v>0</v>
      </c>
      <c r="G28" s="196"/>
    </row>
    <row r="29" spans="1:9" ht="30" customHeight="1" x14ac:dyDescent="0.25">
      <c r="A29" s="262">
        <v>24</v>
      </c>
      <c r="B29" s="263">
        <v>55259</v>
      </c>
      <c r="C29" s="272" t="s">
        <v>223</v>
      </c>
      <c r="D29" s="265">
        <v>36629</v>
      </c>
      <c r="E29" s="265">
        <v>0</v>
      </c>
      <c r="F29" s="266">
        <v>0</v>
      </c>
    </row>
    <row r="30" spans="1:9" ht="30" customHeight="1" x14ac:dyDescent="0.25">
      <c r="A30" s="267">
        <v>25</v>
      </c>
      <c r="B30" s="268">
        <v>21076</v>
      </c>
      <c r="C30" s="269" t="s">
        <v>224</v>
      </c>
      <c r="D30" s="270">
        <v>700000</v>
      </c>
      <c r="E30" s="270">
        <f>591000+100000</f>
        <v>691000</v>
      </c>
      <c r="F30" s="271"/>
    </row>
    <row r="31" spans="1:9" ht="31.5" x14ac:dyDescent="0.25">
      <c r="A31" s="267">
        <v>26</v>
      </c>
      <c r="B31" s="268">
        <v>52268</v>
      </c>
      <c r="C31" s="273" t="s">
        <v>225</v>
      </c>
      <c r="D31" s="274">
        <v>350000</v>
      </c>
      <c r="E31" s="270">
        <v>350000</v>
      </c>
      <c r="F31" s="271">
        <v>350000</v>
      </c>
    </row>
    <row r="32" spans="1:9" ht="30" customHeight="1" x14ac:dyDescent="0.25">
      <c r="A32" s="267">
        <v>27</v>
      </c>
      <c r="B32" s="268">
        <v>54637</v>
      </c>
      <c r="C32" s="301" t="s">
        <v>227</v>
      </c>
      <c r="D32" s="270">
        <v>1500000</v>
      </c>
      <c r="E32" s="270">
        <v>500000</v>
      </c>
      <c r="F32" s="271">
        <v>0</v>
      </c>
    </row>
    <row r="33" spans="1:7" ht="31.5" x14ac:dyDescent="0.25">
      <c r="A33" s="267">
        <v>28</v>
      </c>
      <c r="B33" s="268"/>
      <c r="C33" s="273" t="s">
        <v>276</v>
      </c>
      <c r="D33" s="270">
        <v>50000</v>
      </c>
      <c r="E33" s="270">
        <v>100000</v>
      </c>
      <c r="F33" s="271">
        <v>0</v>
      </c>
    </row>
    <row r="34" spans="1:7" ht="31.5" x14ac:dyDescent="0.25">
      <c r="A34" s="267">
        <v>29</v>
      </c>
      <c r="B34" s="268"/>
      <c r="C34" s="273" t="s">
        <v>277</v>
      </c>
      <c r="D34" s="270">
        <v>50000</v>
      </c>
      <c r="E34" s="270">
        <v>350000</v>
      </c>
      <c r="F34" s="271">
        <v>700000</v>
      </c>
    </row>
    <row r="35" spans="1:7" ht="30" customHeight="1" x14ac:dyDescent="0.25">
      <c r="A35" s="267">
        <v>30</v>
      </c>
      <c r="B35" s="268"/>
      <c r="C35" s="273" t="s">
        <v>278</v>
      </c>
      <c r="D35" s="270">
        <v>50000</v>
      </c>
      <c r="E35" s="270">
        <v>150000</v>
      </c>
      <c r="F35" s="271">
        <v>0</v>
      </c>
    </row>
    <row r="36" spans="1:7" ht="30" customHeight="1" x14ac:dyDescent="0.25">
      <c r="A36" s="267">
        <v>31</v>
      </c>
      <c r="B36" s="268">
        <v>20858</v>
      </c>
      <c r="C36" s="301" t="s">
        <v>228</v>
      </c>
      <c r="D36" s="270">
        <v>50000</v>
      </c>
      <c r="E36" s="270">
        <v>200000</v>
      </c>
      <c r="F36" s="271">
        <v>0</v>
      </c>
    </row>
    <row r="37" spans="1:7" ht="30" customHeight="1" x14ac:dyDescent="0.25">
      <c r="A37" s="267">
        <v>32</v>
      </c>
      <c r="B37" s="268"/>
      <c r="C37" s="301" t="s">
        <v>232</v>
      </c>
      <c r="D37" s="270">
        <f>10000+13616</f>
        <v>23616</v>
      </c>
      <c r="E37" s="270">
        <v>600000</v>
      </c>
      <c r="F37" s="271">
        <v>400000</v>
      </c>
    </row>
    <row r="38" spans="1:7" ht="30" customHeight="1" thickBot="1" x14ac:dyDescent="0.3">
      <c r="A38" s="250">
        <v>33</v>
      </c>
      <c r="B38" s="251"/>
      <c r="C38" s="300" t="s">
        <v>275</v>
      </c>
      <c r="D38" s="252">
        <v>41294.629999999997</v>
      </c>
      <c r="E38" s="252"/>
      <c r="F38" s="253"/>
    </row>
    <row r="39" spans="1:7" ht="30" customHeight="1" x14ac:dyDescent="0.25">
      <c r="A39" s="186">
        <v>34</v>
      </c>
      <c r="B39" s="187">
        <v>55808</v>
      </c>
      <c r="C39" s="302" t="s">
        <v>205</v>
      </c>
      <c r="D39" s="194">
        <v>0</v>
      </c>
      <c r="E39" s="194">
        <v>100000</v>
      </c>
      <c r="F39" s="197">
        <v>200000</v>
      </c>
    </row>
    <row r="40" spans="1:7" ht="30" customHeight="1" x14ac:dyDescent="0.25">
      <c r="A40" s="186">
        <v>35</v>
      </c>
      <c r="B40" s="187">
        <v>55871</v>
      </c>
      <c r="C40" s="302" t="s">
        <v>167</v>
      </c>
      <c r="D40" s="194">
        <v>0</v>
      </c>
      <c r="E40" s="194">
        <v>50000</v>
      </c>
      <c r="F40" s="197">
        <v>300000</v>
      </c>
    </row>
    <row r="41" spans="1:7" ht="30" customHeight="1" x14ac:dyDescent="0.25">
      <c r="A41" s="186">
        <v>36</v>
      </c>
      <c r="B41" s="187">
        <v>56016</v>
      </c>
      <c r="C41" s="302" t="s">
        <v>208</v>
      </c>
      <c r="D41" s="194">
        <v>0</v>
      </c>
      <c r="E41" s="194">
        <v>0</v>
      </c>
      <c r="F41" s="197">
        <v>300000</v>
      </c>
      <c r="G41" s="48"/>
    </row>
    <row r="42" spans="1:7" ht="30" customHeight="1" x14ac:dyDescent="0.25">
      <c r="A42" s="186">
        <v>37</v>
      </c>
      <c r="B42" s="187">
        <v>56020</v>
      </c>
      <c r="C42" s="302" t="s">
        <v>209</v>
      </c>
      <c r="D42" s="194">
        <v>0</v>
      </c>
      <c r="E42" s="194">
        <v>60000</v>
      </c>
      <c r="F42" s="197">
        <v>300000</v>
      </c>
    </row>
    <row r="43" spans="1:7" ht="30" customHeight="1" x14ac:dyDescent="0.25">
      <c r="A43" s="186">
        <v>38</v>
      </c>
      <c r="B43" s="187">
        <v>56162</v>
      </c>
      <c r="C43" s="211" t="s">
        <v>172</v>
      </c>
      <c r="D43" s="194">
        <v>0</v>
      </c>
      <c r="E43" s="194">
        <v>50000</v>
      </c>
      <c r="F43" s="197">
        <v>300000</v>
      </c>
    </row>
    <row r="44" spans="1:7" ht="30" customHeight="1" x14ac:dyDescent="0.25">
      <c r="A44" s="186">
        <v>39</v>
      </c>
      <c r="B44" s="187">
        <v>56262</v>
      </c>
      <c r="C44" s="211" t="s">
        <v>213</v>
      </c>
      <c r="D44" s="194">
        <v>0</v>
      </c>
      <c r="E44" s="194">
        <v>0</v>
      </c>
      <c r="F44" s="197">
        <v>600000</v>
      </c>
    </row>
    <row r="45" spans="1:7" ht="30" customHeight="1" x14ac:dyDescent="0.25">
      <c r="A45" s="186">
        <v>40</v>
      </c>
      <c r="B45" s="187">
        <v>54654</v>
      </c>
      <c r="C45" s="211" t="s">
        <v>220</v>
      </c>
      <c r="D45" s="194">
        <v>0</v>
      </c>
      <c r="E45" s="194">
        <v>150000</v>
      </c>
      <c r="F45" s="197">
        <v>0</v>
      </c>
    </row>
    <row r="46" spans="1:7" ht="30" customHeight="1" x14ac:dyDescent="0.25">
      <c r="A46" s="186">
        <v>41</v>
      </c>
      <c r="B46" s="187">
        <v>54658</v>
      </c>
      <c r="C46" s="302" t="s">
        <v>221</v>
      </c>
      <c r="D46" s="194">
        <v>0</v>
      </c>
      <c r="E46" s="194">
        <v>180000</v>
      </c>
      <c r="F46" s="197">
        <v>700000</v>
      </c>
    </row>
    <row r="47" spans="1:7" ht="30" customHeight="1" x14ac:dyDescent="0.25">
      <c r="A47" s="186">
        <v>42</v>
      </c>
      <c r="B47" s="187">
        <v>54659</v>
      </c>
      <c r="C47" s="302" t="s">
        <v>222</v>
      </c>
      <c r="D47" s="194">
        <v>0</v>
      </c>
      <c r="E47" s="194">
        <v>50000</v>
      </c>
      <c r="F47" s="197">
        <v>100000</v>
      </c>
    </row>
    <row r="48" spans="1:7" ht="30" customHeight="1" x14ac:dyDescent="0.25">
      <c r="A48" s="186">
        <v>43</v>
      </c>
      <c r="B48" s="187">
        <v>54642</v>
      </c>
      <c r="C48" s="302" t="s">
        <v>226</v>
      </c>
      <c r="D48" s="194">
        <v>0</v>
      </c>
      <c r="E48" s="194">
        <v>200000</v>
      </c>
      <c r="F48" s="197">
        <v>500000</v>
      </c>
      <c r="G48" s="51"/>
    </row>
    <row r="49" spans="1:6" ht="30" customHeight="1" x14ac:dyDescent="0.25">
      <c r="A49" s="186">
        <v>44</v>
      </c>
      <c r="B49" s="187"/>
      <c r="C49" s="302" t="s">
        <v>229</v>
      </c>
      <c r="D49" s="194">
        <v>0</v>
      </c>
      <c r="E49" s="194">
        <v>250000</v>
      </c>
      <c r="F49" s="197">
        <v>200000</v>
      </c>
    </row>
    <row r="50" spans="1:6" ht="30" customHeight="1" x14ac:dyDescent="0.25">
      <c r="A50" s="186">
        <v>45</v>
      </c>
      <c r="B50" s="187"/>
      <c r="C50" s="211" t="s">
        <v>230</v>
      </c>
      <c r="D50" s="194">
        <v>0</v>
      </c>
      <c r="E50" s="194">
        <v>224000</v>
      </c>
      <c r="F50" s="197">
        <v>500000</v>
      </c>
    </row>
    <row r="51" spans="1:6" ht="30" customHeight="1" x14ac:dyDescent="0.25">
      <c r="A51" s="186">
        <v>46</v>
      </c>
      <c r="B51" s="187"/>
      <c r="C51" s="302" t="s">
        <v>231</v>
      </c>
      <c r="D51" s="194">
        <v>0</v>
      </c>
      <c r="E51" s="194">
        <v>150000</v>
      </c>
      <c r="F51" s="197">
        <v>300000</v>
      </c>
    </row>
    <row r="52" spans="1:6" ht="31.5" x14ac:dyDescent="0.25">
      <c r="A52" s="186">
        <v>47</v>
      </c>
      <c r="B52" s="187"/>
      <c r="C52" s="211" t="s">
        <v>233</v>
      </c>
      <c r="D52" s="194">
        <v>0</v>
      </c>
      <c r="E52" s="194">
        <v>200000</v>
      </c>
      <c r="F52" s="197">
        <v>800000</v>
      </c>
    </row>
    <row r="53" spans="1:6" ht="30" customHeight="1" x14ac:dyDescent="0.25">
      <c r="A53" s="186">
        <v>48</v>
      </c>
      <c r="B53" s="187"/>
      <c r="C53" s="302" t="s">
        <v>234</v>
      </c>
      <c r="D53" s="194">
        <v>0</v>
      </c>
      <c r="E53" s="194">
        <v>200000</v>
      </c>
      <c r="F53" s="197">
        <v>400000</v>
      </c>
    </row>
    <row r="54" spans="1:6" ht="30" customHeight="1" thickBot="1" x14ac:dyDescent="0.3">
      <c r="A54" s="186">
        <v>49</v>
      </c>
      <c r="B54" s="187"/>
      <c r="C54" s="302" t="s">
        <v>235</v>
      </c>
      <c r="D54" s="194">
        <v>0</v>
      </c>
      <c r="E54" s="194">
        <v>0</v>
      </c>
      <c r="F54" s="197">
        <v>500000</v>
      </c>
    </row>
    <row r="55" spans="1:6" ht="30" customHeight="1" thickBot="1" x14ac:dyDescent="0.3">
      <c r="A55" s="226"/>
      <c r="B55" s="231"/>
      <c r="C55" s="232" t="s">
        <v>174</v>
      </c>
      <c r="D55" s="299">
        <f>+D56</f>
        <v>200000</v>
      </c>
      <c r="E55" s="299">
        <f t="shared" ref="E55:F55" si="3">+E56</f>
        <v>112000</v>
      </c>
      <c r="F55" s="299">
        <f t="shared" si="3"/>
        <v>400000</v>
      </c>
    </row>
    <row r="56" spans="1:6" ht="32.25" thickBot="1" x14ac:dyDescent="0.3">
      <c r="A56" s="254">
        <v>50</v>
      </c>
      <c r="B56" s="255">
        <v>20838</v>
      </c>
      <c r="C56" s="275" t="s">
        <v>237</v>
      </c>
      <c r="D56" s="257">
        <v>200000</v>
      </c>
      <c r="E56" s="257">
        <v>112000</v>
      </c>
      <c r="F56" s="258">
        <v>400000</v>
      </c>
    </row>
    <row r="57" spans="1:6" ht="30" customHeight="1" thickBot="1" x14ac:dyDescent="0.3">
      <c r="A57" s="226"/>
      <c r="B57" s="227"/>
      <c r="C57" s="230" t="s">
        <v>175</v>
      </c>
      <c r="D57" s="299">
        <f>+D58</f>
        <v>375000</v>
      </c>
      <c r="E57" s="299">
        <f t="shared" ref="E57:F57" si="4">+E58</f>
        <v>0</v>
      </c>
      <c r="F57" s="299">
        <f t="shared" si="4"/>
        <v>0</v>
      </c>
    </row>
    <row r="58" spans="1:6" ht="30" customHeight="1" thickBot="1" x14ac:dyDescent="0.3">
      <c r="A58" s="254">
        <v>51</v>
      </c>
      <c r="B58" s="276">
        <v>54572</v>
      </c>
      <c r="C58" s="275" t="s">
        <v>238</v>
      </c>
      <c r="D58" s="257">
        <v>375000</v>
      </c>
      <c r="E58" s="257">
        <v>0</v>
      </c>
      <c r="F58" s="258">
        <v>0</v>
      </c>
    </row>
    <row r="59" spans="1:6" ht="30" customHeight="1" thickBot="1" x14ac:dyDescent="0.3">
      <c r="A59" s="226" t="s">
        <v>124</v>
      </c>
      <c r="B59" s="227"/>
      <c r="C59" s="230" t="s">
        <v>176</v>
      </c>
      <c r="D59" s="303">
        <f>+D60+D61+D62+D63+D64</f>
        <v>180000</v>
      </c>
      <c r="E59" s="303">
        <f t="shared" ref="E59:F59" si="5">+E60+E61+E62+E63+E64</f>
        <v>325000</v>
      </c>
      <c r="F59" s="303">
        <f t="shared" si="5"/>
        <v>600000</v>
      </c>
    </row>
    <row r="60" spans="1:6" ht="31.5" x14ac:dyDescent="0.25">
      <c r="A60" s="238">
        <v>52</v>
      </c>
      <c r="B60" s="277">
        <v>55937</v>
      </c>
      <c r="C60" s="278" t="s">
        <v>239</v>
      </c>
      <c r="D60" s="241">
        <v>150000</v>
      </c>
      <c r="E60" s="241">
        <v>0</v>
      </c>
      <c r="F60" s="242">
        <v>0</v>
      </c>
    </row>
    <row r="61" spans="1:6" s="51" customFormat="1" ht="31.5" x14ac:dyDescent="0.25">
      <c r="A61" s="267">
        <v>53</v>
      </c>
      <c r="B61" s="268"/>
      <c r="C61" s="273" t="s">
        <v>240</v>
      </c>
      <c r="D61" s="270">
        <v>10000</v>
      </c>
      <c r="E61" s="270">
        <f>3000*30</f>
        <v>90000</v>
      </c>
      <c r="F61" s="271">
        <v>200000</v>
      </c>
    </row>
    <row r="62" spans="1:6" s="51" customFormat="1" ht="30" customHeight="1" x14ac:dyDescent="0.25">
      <c r="A62" s="267">
        <v>54</v>
      </c>
      <c r="B62" s="268"/>
      <c r="C62" s="269" t="s">
        <v>241</v>
      </c>
      <c r="D62" s="270">
        <v>10000</v>
      </c>
      <c r="E62" s="270">
        <v>90000</v>
      </c>
      <c r="F62" s="271">
        <v>200000</v>
      </c>
    </row>
    <row r="63" spans="1:6" s="51" customFormat="1" ht="30" customHeight="1" x14ac:dyDescent="0.25">
      <c r="A63" s="267">
        <v>55</v>
      </c>
      <c r="B63" s="268"/>
      <c r="C63" s="269" t="s">
        <v>273</v>
      </c>
      <c r="D63" s="270">
        <v>10000</v>
      </c>
      <c r="E63" s="270">
        <v>45000</v>
      </c>
      <c r="F63" s="271">
        <v>100000</v>
      </c>
    </row>
    <row r="64" spans="1:6" s="51" customFormat="1" ht="30" customHeight="1" thickBot="1" x14ac:dyDescent="0.3">
      <c r="A64" s="209">
        <v>56</v>
      </c>
      <c r="B64" s="191">
        <v>55171</v>
      </c>
      <c r="C64" s="222" t="s">
        <v>242</v>
      </c>
      <c r="D64" s="212">
        <v>0</v>
      </c>
      <c r="E64" s="212">
        <v>100000</v>
      </c>
      <c r="F64" s="210">
        <v>100000</v>
      </c>
    </row>
    <row r="65" spans="1:6" ht="30" customHeight="1" thickBot="1" x14ac:dyDescent="0.3">
      <c r="A65" s="223" t="s">
        <v>124</v>
      </c>
      <c r="B65" s="227"/>
      <c r="C65" s="230" t="s">
        <v>182</v>
      </c>
      <c r="D65" s="299">
        <f>+D66+D67+D68+D69</f>
        <v>120000</v>
      </c>
      <c r="E65" s="299">
        <f t="shared" ref="E65:F65" si="6">+E66+E67+E68+E69</f>
        <v>410000</v>
      </c>
      <c r="F65" s="299">
        <f t="shared" si="6"/>
        <v>250000</v>
      </c>
    </row>
    <row r="66" spans="1:6" ht="30" customHeight="1" x14ac:dyDescent="0.25">
      <c r="A66" s="186">
        <v>57</v>
      </c>
      <c r="B66" s="224">
        <v>54532</v>
      </c>
      <c r="C66" s="229" t="s">
        <v>243</v>
      </c>
      <c r="D66" s="225">
        <v>0</v>
      </c>
      <c r="E66" s="225">
        <v>60000</v>
      </c>
      <c r="F66" s="213">
        <v>0</v>
      </c>
    </row>
    <row r="67" spans="1:6" ht="30" customHeight="1" x14ac:dyDescent="0.25">
      <c r="A67" s="186">
        <v>58</v>
      </c>
      <c r="B67" s="190">
        <v>54533</v>
      </c>
      <c r="C67" s="302" t="s">
        <v>244</v>
      </c>
      <c r="D67" s="194">
        <v>0</v>
      </c>
      <c r="E67" s="194">
        <v>0</v>
      </c>
      <c r="F67" s="197">
        <v>250000</v>
      </c>
    </row>
    <row r="68" spans="1:6" ht="30" customHeight="1" x14ac:dyDescent="0.25">
      <c r="A68" s="186">
        <v>59</v>
      </c>
      <c r="B68" s="190">
        <v>20790</v>
      </c>
      <c r="C68" s="302" t="s">
        <v>245</v>
      </c>
      <c r="D68" s="194">
        <v>0</v>
      </c>
      <c r="E68" s="194">
        <v>350000</v>
      </c>
      <c r="F68" s="197">
        <v>0</v>
      </c>
    </row>
    <row r="69" spans="1:6" ht="30" customHeight="1" thickBot="1" x14ac:dyDescent="0.3">
      <c r="A69" s="279">
        <v>60</v>
      </c>
      <c r="B69" s="280"/>
      <c r="C69" s="304" t="s">
        <v>260</v>
      </c>
      <c r="D69" s="282">
        <v>120000</v>
      </c>
      <c r="E69" s="282">
        <v>0</v>
      </c>
      <c r="F69" s="283">
        <v>0</v>
      </c>
    </row>
    <row r="70" spans="1:6" ht="30" customHeight="1" thickBot="1" x14ac:dyDescent="0.3">
      <c r="A70" s="226"/>
      <c r="B70" s="227"/>
      <c r="C70" s="228" t="s">
        <v>246</v>
      </c>
      <c r="D70" s="299">
        <f>+D71+D72+D73</f>
        <v>280000</v>
      </c>
      <c r="E70" s="299">
        <f t="shared" ref="E70:F70" si="7">+E71+E72+E73</f>
        <v>500000</v>
      </c>
      <c r="F70" s="299">
        <f t="shared" si="7"/>
        <v>200000</v>
      </c>
    </row>
    <row r="71" spans="1:6" ht="30" customHeight="1" x14ac:dyDescent="0.25">
      <c r="A71" s="185">
        <v>61</v>
      </c>
      <c r="B71" s="224">
        <v>54472</v>
      </c>
      <c r="C71" s="311" t="s">
        <v>247</v>
      </c>
      <c r="D71" s="225">
        <v>50000</v>
      </c>
      <c r="E71" s="225">
        <v>50000</v>
      </c>
      <c r="F71" s="213">
        <v>0</v>
      </c>
    </row>
    <row r="72" spans="1:6" ht="30" customHeight="1" x14ac:dyDescent="0.25">
      <c r="A72" s="186">
        <v>62</v>
      </c>
      <c r="B72" s="190">
        <v>54476</v>
      </c>
      <c r="C72" s="302" t="s">
        <v>248</v>
      </c>
      <c r="D72" s="194">
        <v>230000</v>
      </c>
      <c r="E72" s="194">
        <v>200000</v>
      </c>
      <c r="F72" s="197">
        <v>0</v>
      </c>
    </row>
    <row r="73" spans="1:6" ht="30" customHeight="1" thickBot="1" x14ac:dyDescent="0.3">
      <c r="A73" s="209">
        <v>63</v>
      </c>
      <c r="B73" s="191">
        <v>54468</v>
      </c>
      <c r="C73" s="312" t="s">
        <v>249</v>
      </c>
      <c r="D73" s="212">
        <v>0</v>
      </c>
      <c r="E73" s="212">
        <v>250000</v>
      </c>
      <c r="F73" s="210">
        <v>200000</v>
      </c>
    </row>
    <row r="74" spans="1:6" ht="30" customHeight="1" thickBot="1" x14ac:dyDescent="0.3">
      <c r="A74" s="226" t="s">
        <v>124</v>
      </c>
      <c r="B74" s="227"/>
      <c r="C74" s="228" t="s">
        <v>271</v>
      </c>
      <c r="D74" s="299">
        <f>+D75+D76+D77+D78+D79+D80+D81</f>
        <v>433000</v>
      </c>
      <c r="E74" s="299">
        <f t="shared" ref="E74:F74" si="8">+E75+E76+E77+E78+E79+E80+E81</f>
        <v>296600</v>
      </c>
      <c r="F74" s="299">
        <f t="shared" si="8"/>
        <v>1800000</v>
      </c>
    </row>
    <row r="75" spans="1:6" ht="30" customHeight="1" x14ac:dyDescent="0.25">
      <c r="A75" s="262">
        <v>64</v>
      </c>
      <c r="B75" s="285">
        <v>53046</v>
      </c>
      <c r="C75" s="264" t="s">
        <v>251</v>
      </c>
      <c r="D75" s="265">
        <v>254000</v>
      </c>
      <c r="E75" s="265">
        <v>0</v>
      </c>
      <c r="F75" s="266">
        <v>0</v>
      </c>
    </row>
    <row r="76" spans="1:6" ht="30" customHeight="1" x14ac:dyDescent="0.25">
      <c r="A76" s="267">
        <v>65</v>
      </c>
      <c r="B76" s="268"/>
      <c r="C76" s="269" t="s">
        <v>253</v>
      </c>
      <c r="D76" s="270">
        <v>49000</v>
      </c>
      <c r="E76" s="270">
        <v>150000</v>
      </c>
      <c r="F76" s="271"/>
    </row>
    <row r="77" spans="1:6" ht="30" customHeight="1" thickBot="1" x14ac:dyDescent="0.3">
      <c r="A77" s="279">
        <v>66</v>
      </c>
      <c r="B77" s="280"/>
      <c r="C77" s="281" t="s">
        <v>279</v>
      </c>
      <c r="D77" s="282">
        <v>30000</v>
      </c>
      <c r="E77" s="282">
        <v>0</v>
      </c>
      <c r="F77" s="283">
        <v>0</v>
      </c>
    </row>
    <row r="78" spans="1:6" ht="30" customHeight="1" thickBot="1" x14ac:dyDescent="0.3">
      <c r="A78" s="250">
        <v>67</v>
      </c>
      <c r="B78" s="287"/>
      <c r="C78" s="309" t="s">
        <v>270</v>
      </c>
      <c r="D78" s="252">
        <v>50000</v>
      </c>
      <c r="E78" s="252">
        <v>0</v>
      </c>
      <c r="F78" s="253">
        <v>0</v>
      </c>
    </row>
    <row r="79" spans="1:6" ht="30" customHeight="1" x14ac:dyDescent="0.25">
      <c r="A79" s="259">
        <v>68</v>
      </c>
      <c r="B79" s="286">
        <v>50748</v>
      </c>
      <c r="C79" s="310" t="s">
        <v>250</v>
      </c>
      <c r="D79" s="260">
        <v>50000</v>
      </c>
      <c r="E79" s="260">
        <v>0</v>
      </c>
      <c r="F79" s="261">
        <v>0</v>
      </c>
    </row>
    <row r="80" spans="1:6" ht="30" customHeight="1" x14ac:dyDescent="0.25">
      <c r="A80" s="186">
        <v>69</v>
      </c>
      <c r="B80" s="190">
        <v>54422</v>
      </c>
      <c r="C80" s="195" t="s">
        <v>252</v>
      </c>
      <c r="D80" s="194">
        <v>0</v>
      </c>
      <c r="E80" s="194">
        <f>100000-17400</f>
        <v>82600</v>
      </c>
      <c r="F80" s="197">
        <v>900000</v>
      </c>
    </row>
    <row r="81" spans="1:7" ht="30" customHeight="1" thickBot="1" x14ac:dyDescent="0.3">
      <c r="A81" s="186">
        <v>70</v>
      </c>
      <c r="B81" s="190">
        <v>54989</v>
      </c>
      <c r="C81" s="195" t="s">
        <v>266</v>
      </c>
      <c r="D81" s="194">
        <v>0</v>
      </c>
      <c r="E81" s="194">
        <v>64000</v>
      </c>
      <c r="F81" s="197">
        <v>900000</v>
      </c>
      <c r="G81" s="51"/>
    </row>
    <row r="82" spans="1:7" ht="30" customHeight="1" thickBot="1" x14ac:dyDescent="0.3">
      <c r="A82" s="226" t="s">
        <v>124</v>
      </c>
      <c r="B82" s="227"/>
      <c r="C82" s="228" t="s">
        <v>177</v>
      </c>
      <c r="D82" s="299">
        <f>+D83+D84+D85+D86+D87+D88+D89+D90+D91+D92+D93+D94+D95</f>
        <v>1755106.13</v>
      </c>
      <c r="E82" s="299">
        <f t="shared" ref="E82:F82" si="9">+E83+E84+E85+E86+E87+E88+E89+E90+E91+E92+E93+E94+E95</f>
        <v>1720845</v>
      </c>
      <c r="F82" s="299">
        <f t="shared" si="9"/>
        <v>4036555</v>
      </c>
    </row>
    <row r="83" spans="1:7" ht="30" customHeight="1" x14ac:dyDescent="0.25">
      <c r="A83" s="262">
        <v>71</v>
      </c>
      <c r="B83" s="285">
        <v>20788</v>
      </c>
      <c r="C83" s="308" t="s">
        <v>178</v>
      </c>
      <c r="D83" s="265">
        <v>367265</v>
      </c>
      <c r="E83" s="265">
        <v>0</v>
      </c>
      <c r="F83" s="266">
        <v>0</v>
      </c>
    </row>
    <row r="84" spans="1:7" ht="30" customHeight="1" x14ac:dyDescent="0.25">
      <c r="A84" s="262">
        <v>72</v>
      </c>
      <c r="B84" s="285">
        <v>49976</v>
      </c>
      <c r="C84" s="288" t="s">
        <v>126</v>
      </c>
      <c r="D84" s="265">
        <v>108840.13</v>
      </c>
      <c r="E84" s="265">
        <v>0</v>
      </c>
      <c r="F84" s="266">
        <v>0</v>
      </c>
    </row>
    <row r="85" spans="1:7" ht="30" customHeight="1" x14ac:dyDescent="0.25">
      <c r="A85" s="262">
        <v>73</v>
      </c>
      <c r="B85" s="285">
        <v>54670</v>
      </c>
      <c r="C85" s="288" t="s">
        <v>256</v>
      </c>
      <c r="D85" s="265">
        <f>429001-120000</f>
        <v>309001</v>
      </c>
      <c r="E85" s="265">
        <v>620000</v>
      </c>
      <c r="F85" s="266">
        <v>0</v>
      </c>
    </row>
    <row r="86" spans="1:7" ht="30" customHeight="1" x14ac:dyDescent="0.25">
      <c r="A86" s="259">
        <v>74</v>
      </c>
      <c r="B86" s="286">
        <v>54670</v>
      </c>
      <c r="C86" s="289" t="s">
        <v>254</v>
      </c>
      <c r="D86" s="260">
        <v>350000</v>
      </c>
      <c r="E86" s="260">
        <v>400000</v>
      </c>
      <c r="F86" s="261">
        <v>500000</v>
      </c>
    </row>
    <row r="87" spans="1:7" ht="30" customHeight="1" x14ac:dyDescent="0.25">
      <c r="A87" s="267">
        <v>75</v>
      </c>
      <c r="B87" s="290"/>
      <c r="C87" s="291" t="s">
        <v>201</v>
      </c>
      <c r="D87" s="270">
        <v>270000</v>
      </c>
      <c r="E87" s="270">
        <v>0</v>
      </c>
      <c r="F87" s="271">
        <v>0</v>
      </c>
    </row>
    <row r="88" spans="1:7" ht="30" customHeight="1" x14ac:dyDescent="0.25">
      <c r="A88" s="267">
        <v>76</v>
      </c>
      <c r="B88" s="290"/>
      <c r="C88" s="305" t="s">
        <v>280</v>
      </c>
      <c r="D88" s="270">
        <v>100000</v>
      </c>
      <c r="E88" s="270">
        <v>0</v>
      </c>
      <c r="F88" s="271">
        <v>0</v>
      </c>
    </row>
    <row r="89" spans="1:7" ht="30" customHeight="1" x14ac:dyDescent="0.25">
      <c r="A89" s="267">
        <v>77</v>
      </c>
      <c r="B89" s="268"/>
      <c r="C89" s="305" t="s">
        <v>259</v>
      </c>
      <c r="D89" s="270">
        <v>150000</v>
      </c>
      <c r="E89" s="270">
        <v>200000</v>
      </c>
      <c r="F89" s="271">
        <v>0</v>
      </c>
    </row>
    <row r="90" spans="1:7" ht="30" customHeight="1" thickBot="1" x14ac:dyDescent="0.3">
      <c r="A90" s="279">
        <v>78</v>
      </c>
      <c r="B90" s="292"/>
      <c r="C90" s="304" t="s">
        <v>236</v>
      </c>
      <c r="D90" s="282">
        <v>100000</v>
      </c>
      <c r="E90" s="282">
        <v>0</v>
      </c>
      <c r="F90" s="283">
        <v>0</v>
      </c>
    </row>
    <row r="91" spans="1:7" ht="30" customHeight="1" x14ac:dyDescent="0.25">
      <c r="A91" s="186">
        <v>79</v>
      </c>
      <c r="B91" s="190"/>
      <c r="C91" s="306" t="s">
        <v>255</v>
      </c>
      <c r="D91" s="194">
        <v>0</v>
      </c>
      <c r="E91" s="194">
        <v>0</v>
      </c>
      <c r="F91" s="197">
        <v>926555</v>
      </c>
      <c r="G91" s="51"/>
    </row>
    <row r="92" spans="1:7" ht="30" customHeight="1" x14ac:dyDescent="0.25">
      <c r="A92" s="186">
        <v>80</v>
      </c>
      <c r="B92" s="190">
        <v>20787</v>
      </c>
      <c r="C92" s="306" t="s">
        <v>179</v>
      </c>
      <c r="D92" s="194">
        <v>0</v>
      </c>
      <c r="E92" s="194">
        <v>500845</v>
      </c>
      <c r="F92" s="197">
        <v>810000</v>
      </c>
      <c r="G92" s="51"/>
    </row>
    <row r="93" spans="1:7" ht="30" customHeight="1" x14ac:dyDescent="0.25">
      <c r="A93" s="186">
        <v>81</v>
      </c>
      <c r="B93" s="190">
        <v>55988</v>
      </c>
      <c r="C93" s="306" t="s">
        <v>257</v>
      </c>
      <c r="D93" s="194">
        <v>0</v>
      </c>
      <c r="E93" s="194">
        <v>0</v>
      </c>
      <c r="F93" s="197">
        <v>900000</v>
      </c>
      <c r="G93" s="51"/>
    </row>
    <row r="94" spans="1:7" ht="30" customHeight="1" x14ac:dyDescent="0.25">
      <c r="A94" s="186">
        <v>82</v>
      </c>
      <c r="B94" s="190">
        <v>53476</v>
      </c>
      <c r="C94" s="306" t="s">
        <v>258</v>
      </c>
      <c r="D94" s="194">
        <v>0</v>
      </c>
      <c r="E94" s="194">
        <v>0</v>
      </c>
      <c r="F94" s="197"/>
      <c r="G94" s="51"/>
    </row>
    <row r="95" spans="1:7" ht="30" customHeight="1" thickBot="1" x14ac:dyDescent="0.3">
      <c r="A95" s="209">
        <v>83</v>
      </c>
      <c r="B95" s="191"/>
      <c r="C95" s="307" t="s">
        <v>180</v>
      </c>
      <c r="D95" s="212">
        <v>0</v>
      </c>
      <c r="E95" s="212">
        <v>0</v>
      </c>
      <c r="F95" s="210">
        <v>900000</v>
      </c>
    </row>
    <row r="96" spans="1:7" ht="30" customHeight="1" thickBot="1" x14ac:dyDescent="0.3">
      <c r="A96" s="188" t="s">
        <v>124</v>
      </c>
      <c r="B96" s="188"/>
      <c r="C96" s="43"/>
      <c r="D96" s="204">
        <f>+D82+D74+D70+D65+D59+D57+D55+D9+D7+D3</f>
        <v>13894525</v>
      </c>
      <c r="E96" s="204">
        <f t="shared" ref="E96:F96" si="10">+E82+E74+E70+E65+E59+E57+E55+E9+E7+E3</f>
        <v>16131025</v>
      </c>
      <c r="F96" s="204">
        <f t="shared" si="10"/>
        <v>18426555</v>
      </c>
    </row>
    <row r="97" spans="1:6" ht="30" customHeight="1" thickBot="1" x14ac:dyDescent="0.3">
      <c r="A97" s="188" t="s">
        <v>124</v>
      </c>
      <c r="B97" s="188"/>
      <c r="C97" s="43"/>
      <c r="D97" s="201"/>
      <c r="E97" s="202"/>
      <c r="F97" s="203"/>
    </row>
    <row r="98" spans="1:6" ht="30" customHeight="1" thickBot="1" x14ac:dyDescent="0.3">
      <c r="A98" s="188"/>
      <c r="B98" s="188"/>
      <c r="C98" s="43"/>
      <c r="D98" s="198">
        <v>13894525</v>
      </c>
      <c r="E98" s="199">
        <v>16131025</v>
      </c>
      <c r="F98" s="200">
        <v>18426555</v>
      </c>
    </row>
    <row r="99" spans="1:6" ht="30" customHeight="1" thickBot="1" x14ac:dyDescent="0.3">
      <c r="A99" s="192"/>
      <c r="B99" s="192"/>
      <c r="C99" s="44"/>
      <c r="D99" s="297">
        <f>+D96-D98</f>
        <v>0</v>
      </c>
      <c r="E99" s="205">
        <f>+E96-E98</f>
        <v>0</v>
      </c>
      <c r="F99" s="206">
        <f>+F96-F98</f>
        <v>0</v>
      </c>
    </row>
  </sheetData>
  <pageMargins left="0.7" right="0.7" top="0.75" bottom="0.75" header="0.3" footer="0.3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8"/>
  <sheetViews>
    <sheetView topLeftCell="A10" workbookViewId="0">
      <selection activeCell="C33" sqref="C33:E38"/>
    </sheetView>
  </sheetViews>
  <sheetFormatPr defaultRowHeight="15.75" x14ac:dyDescent="0.25"/>
  <cols>
    <col min="1" max="1" width="32.42578125" style="12" bestFit="1" customWidth="1"/>
    <col min="2" max="5" width="14.28515625" style="12" bestFit="1" customWidth="1"/>
  </cols>
  <sheetData>
    <row r="1" spans="1:5" ht="16.5" thickBot="1" x14ac:dyDescent="0.3">
      <c r="A1" s="145" t="s">
        <v>135</v>
      </c>
      <c r="B1" s="22"/>
      <c r="C1" s="22"/>
      <c r="D1" s="22"/>
      <c r="E1" s="22"/>
    </row>
    <row r="2" spans="1:5" ht="16.5" thickBot="1" x14ac:dyDescent="0.3">
      <c r="A2" s="22"/>
      <c r="B2" s="22"/>
      <c r="C2" s="22"/>
      <c r="D2" s="22"/>
      <c r="E2" s="22"/>
    </row>
    <row r="3" spans="1:5" ht="16.5" thickBot="1" x14ac:dyDescent="0.3">
      <c r="A3" s="146" t="s">
        <v>136</v>
      </c>
      <c r="B3" s="147" t="s">
        <v>137</v>
      </c>
      <c r="C3" s="147" t="s">
        <v>138</v>
      </c>
      <c r="D3" s="147" t="s">
        <v>139</v>
      </c>
      <c r="E3" s="148" t="s">
        <v>140</v>
      </c>
    </row>
    <row r="4" spans="1:5" x14ac:dyDescent="0.25">
      <c r="A4" s="40" t="s">
        <v>141</v>
      </c>
      <c r="B4" s="23">
        <v>17183146</v>
      </c>
      <c r="C4" s="23">
        <v>19185740</v>
      </c>
      <c r="D4" s="23">
        <v>20239590</v>
      </c>
      <c r="E4" s="24">
        <v>21838187</v>
      </c>
    </row>
    <row r="5" spans="1:5" x14ac:dyDescent="0.25">
      <c r="A5" s="41" t="s">
        <v>142</v>
      </c>
      <c r="B5" s="25">
        <v>13310859</v>
      </c>
      <c r="C5" s="25">
        <v>13038791</v>
      </c>
      <c r="D5" s="25">
        <v>13429955</v>
      </c>
      <c r="E5" s="26">
        <v>13832854</v>
      </c>
    </row>
    <row r="6" spans="1:5" x14ac:dyDescent="0.25">
      <c r="A6" s="41" t="s">
        <v>143</v>
      </c>
      <c r="B6" s="25">
        <v>4643087</v>
      </c>
      <c r="C6" s="25">
        <v>4317932</v>
      </c>
      <c r="D6" s="25">
        <v>4447470</v>
      </c>
      <c r="E6" s="26">
        <v>4580894</v>
      </c>
    </row>
    <row r="7" spans="1:5" x14ac:dyDescent="0.25">
      <c r="A7" s="41" t="s">
        <v>144</v>
      </c>
      <c r="B7" s="25">
        <v>250696</v>
      </c>
      <c r="C7" s="25">
        <v>264782</v>
      </c>
      <c r="D7" s="25">
        <v>279345</v>
      </c>
      <c r="E7" s="26">
        <v>294709</v>
      </c>
    </row>
    <row r="8" spans="1:5" ht="31.5" x14ac:dyDescent="0.25">
      <c r="A8" s="41" t="s">
        <v>145</v>
      </c>
      <c r="B8" s="25">
        <v>382500</v>
      </c>
      <c r="C8" s="25">
        <v>382500</v>
      </c>
      <c r="D8" s="25">
        <v>665000</v>
      </c>
      <c r="E8" s="26">
        <v>615000</v>
      </c>
    </row>
    <row r="9" spans="1:5" ht="16.5" thickBot="1" x14ac:dyDescent="0.3">
      <c r="A9" s="42" t="s">
        <v>146</v>
      </c>
      <c r="B9" s="27">
        <v>6183550</v>
      </c>
      <c r="C9" s="27">
        <v>6929933</v>
      </c>
      <c r="D9" s="27">
        <v>7126377</v>
      </c>
      <c r="E9" s="28">
        <v>7432935</v>
      </c>
    </row>
    <row r="10" spans="1:5" ht="16.5" thickBot="1" x14ac:dyDescent="0.3">
      <c r="A10" s="149" t="s">
        <v>147</v>
      </c>
      <c r="B10" s="150">
        <v>41953838</v>
      </c>
      <c r="C10" s="150">
        <v>44119678</v>
      </c>
      <c r="D10" s="150">
        <v>46187737</v>
      </c>
      <c r="E10" s="151">
        <v>48594579</v>
      </c>
    </row>
    <row r="11" spans="1:5" x14ac:dyDescent="0.25">
      <c r="A11" s="22"/>
      <c r="B11" s="22"/>
      <c r="C11" s="22"/>
      <c r="D11" s="22"/>
      <c r="E11" s="22"/>
    </row>
    <row r="12" spans="1:5" ht="16.5" thickBot="1" x14ac:dyDescent="0.3">
      <c r="A12" s="152" t="s">
        <v>148</v>
      </c>
      <c r="B12" s="22"/>
      <c r="C12" s="22"/>
      <c r="D12" s="22"/>
      <c r="E12" s="22"/>
    </row>
    <row r="13" spans="1:5" ht="16.5" thickBot="1" x14ac:dyDescent="0.3">
      <c r="A13" s="146" t="s">
        <v>136</v>
      </c>
      <c r="B13" s="147" t="s">
        <v>137</v>
      </c>
      <c r="C13" s="147" t="s">
        <v>138</v>
      </c>
      <c r="D13" s="147" t="s">
        <v>139</v>
      </c>
      <c r="E13" s="148" t="s">
        <v>140</v>
      </c>
    </row>
    <row r="14" spans="1:5" x14ac:dyDescent="0.25">
      <c r="A14" s="40" t="s">
        <v>149</v>
      </c>
      <c r="B14" s="23">
        <v>2635918</v>
      </c>
      <c r="C14" s="23">
        <v>2827022</v>
      </c>
      <c r="D14" s="23">
        <v>2855292</v>
      </c>
      <c r="E14" s="24">
        <v>2869568</v>
      </c>
    </row>
    <row r="15" spans="1:5" x14ac:dyDescent="0.25">
      <c r="A15" s="41" t="s">
        <v>150</v>
      </c>
      <c r="B15" s="25">
        <v>666897</v>
      </c>
      <c r="C15" s="25">
        <v>806945</v>
      </c>
      <c r="D15" s="25">
        <v>810980</v>
      </c>
      <c r="E15" s="26">
        <v>815034</v>
      </c>
    </row>
    <row r="16" spans="1:5" ht="16.5" thickBot="1" x14ac:dyDescent="0.3">
      <c r="A16" s="42" t="s">
        <v>151</v>
      </c>
      <c r="B16" s="27">
        <v>2880736</v>
      </c>
      <c r="C16" s="27">
        <v>3295966</v>
      </c>
      <c r="D16" s="27">
        <v>3460105</v>
      </c>
      <c r="E16" s="28">
        <v>3748332</v>
      </c>
    </row>
    <row r="17" spans="1:5" ht="16.5" thickBot="1" x14ac:dyDescent="0.3">
      <c r="A17" s="149" t="s">
        <v>152</v>
      </c>
      <c r="B17" s="150">
        <v>6183551</v>
      </c>
      <c r="C17" s="150">
        <v>6929933</v>
      </c>
      <c r="D17" s="150">
        <v>7126377</v>
      </c>
      <c r="E17" s="151">
        <v>7432934</v>
      </c>
    </row>
    <row r="18" spans="1:5" x14ac:dyDescent="0.25">
      <c r="A18" s="22"/>
      <c r="B18" s="22"/>
      <c r="C18" s="22"/>
      <c r="D18" s="22"/>
      <c r="E18" s="22"/>
    </row>
    <row r="19" spans="1:5" ht="16.5" thickBot="1" x14ac:dyDescent="0.3">
      <c r="A19" s="153" t="s">
        <v>153</v>
      </c>
      <c r="B19" s="30"/>
      <c r="C19" s="30"/>
      <c r="D19" s="30"/>
      <c r="E19" s="30"/>
    </row>
    <row r="20" spans="1:5" ht="16.5" thickBot="1" x14ac:dyDescent="0.3">
      <c r="A20" s="154" t="s">
        <v>136</v>
      </c>
      <c r="B20" s="155" t="s">
        <v>137</v>
      </c>
      <c r="C20" s="155" t="s">
        <v>138</v>
      </c>
      <c r="D20" s="155" t="s">
        <v>139</v>
      </c>
      <c r="E20" s="156" t="s">
        <v>140</v>
      </c>
    </row>
    <row r="21" spans="1:5" x14ac:dyDescent="0.25">
      <c r="A21" s="31" t="s">
        <v>154</v>
      </c>
      <c r="B21" s="32">
        <v>21322669</v>
      </c>
      <c r="C21" s="32">
        <v>21481142.489999998</v>
      </c>
      <c r="D21" s="32">
        <v>21588549.199999999</v>
      </c>
      <c r="E21" s="33">
        <v>21696492.940000001</v>
      </c>
    </row>
    <row r="22" spans="1:5" x14ac:dyDescent="0.25">
      <c r="A22" s="34" t="s">
        <v>98</v>
      </c>
      <c r="B22" s="35">
        <v>5453454.1100000003</v>
      </c>
      <c r="C22" s="35">
        <v>4985490</v>
      </c>
      <c r="D22" s="35">
        <v>4987490</v>
      </c>
      <c r="E22" s="36">
        <v>4987490</v>
      </c>
    </row>
    <row r="23" spans="1:5" x14ac:dyDescent="0.25">
      <c r="A23" s="34" t="s">
        <v>155</v>
      </c>
      <c r="B23" s="35">
        <v>1107240</v>
      </c>
      <c r="C23" s="35">
        <v>1157240</v>
      </c>
      <c r="D23" s="35">
        <v>1157240</v>
      </c>
      <c r="E23" s="36">
        <v>1157240</v>
      </c>
    </row>
    <row r="24" spans="1:5" x14ac:dyDescent="0.25">
      <c r="A24" s="34" t="s">
        <v>156</v>
      </c>
      <c r="B24" s="35">
        <v>1362501.51</v>
      </c>
      <c r="C24" s="35">
        <v>1930626</v>
      </c>
      <c r="D24" s="35">
        <v>1649426</v>
      </c>
      <c r="E24" s="36">
        <v>1649426</v>
      </c>
    </row>
    <row r="25" spans="1:5" ht="16.5" thickBot="1" x14ac:dyDescent="0.3">
      <c r="A25" s="37" t="s">
        <v>157</v>
      </c>
      <c r="B25" s="38">
        <v>12707974.380000001</v>
      </c>
      <c r="C25" s="38">
        <v>14565179.51</v>
      </c>
      <c r="D25" s="38">
        <v>16805031.800000001</v>
      </c>
      <c r="E25" s="39">
        <v>19103930.059999999</v>
      </c>
    </row>
    <row r="26" spans="1:5" ht="16.5" thickBot="1" x14ac:dyDescent="0.3">
      <c r="A26" s="157" t="s">
        <v>147</v>
      </c>
      <c r="B26" s="158">
        <f>SUM(B21:B25)</f>
        <v>41953839</v>
      </c>
      <c r="C26" s="158">
        <f>SUM(C21:C25)</f>
        <v>44119678</v>
      </c>
      <c r="D26" s="158">
        <f>SUM(D21:D25)</f>
        <v>46187737</v>
      </c>
      <c r="E26" s="159">
        <f>SUM(E21:E25)</f>
        <v>48594579</v>
      </c>
    </row>
    <row r="27" spans="1:5" x14ac:dyDescent="0.25">
      <c r="A27" s="160"/>
      <c r="B27" s="160"/>
      <c r="C27" s="161"/>
      <c r="D27" s="161"/>
      <c r="E27" s="161"/>
    </row>
    <row r="28" spans="1:5" ht="16.5" thickBot="1" x14ac:dyDescent="0.3"/>
    <row r="29" spans="1:5" ht="16.5" thickBot="1" x14ac:dyDescent="0.3">
      <c r="A29" s="162" t="s">
        <v>158</v>
      </c>
    </row>
    <row r="31" spans="1:5" ht="16.5" thickBot="1" x14ac:dyDescent="0.3">
      <c r="A31" s="153" t="s">
        <v>153</v>
      </c>
      <c r="B31" s="30"/>
      <c r="C31" s="30"/>
      <c r="D31" s="30"/>
      <c r="E31" s="30"/>
    </row>
    <row r="32" spans="1:5" ht="16.5" thickBot="1" x14ac:dyDescent="0.3">
      <c r="A32" s="154" t="s">
        <v>136</v>
      </c>
      <c r="B32" s="155" t="s">
        <v>137</v>
      </c>
      <c r="C32" s="155" t="s">
        <v>138</v>
      </c>
      <c r="D32" s="155" t="s">
        <v>139</v>
      </c>
      <c r="E32" s="156" t="s">
        <v>140</v>
      </c>
    </row>
    <row r="33" spans="1:5" x14ac:dyDescent="0.25">
      <c r="A33" s="31" t="s">
        <v>154</v>
      </c>
      <c r="B33" s="32">
        <v>21322669</v>
      </c>
      <c r="C33" s="32">
        <v>22151797</v>
      </c>
      <c r="D33" s="32">
        <v>22262556</v>
      </c>
      <c r="E33" s="33">
        <v>22373868</v>
      </c>
    </row>
    <row r="34" spans="1:5" x14ac:dyDescent="0.25">
      <c r="A34" s="34" t="s">
        <v>98</v>
      </c>
      <c r="B34" s="35">
        <v>5453454.1100000003</v>
      </c>
      <c r="C34" s="35">
        <v>4985490</v>
      </c>
      <c r="D34" s="35">
        <v>4987490</v>
      </c>
      <c r="E34" s="36">
        <v>4987490</v>
      </c>
    </row>
    <row r="35" spans="1:5" x14ac:dyDescent="0.25">
      <c r="A35" s="34" t="s">
        <v>155</v>
      </c>
      <c r="B35" s="35">
        <v>1107240</v>
      </c>
      <c r="C35" s="35">
        <v>1157240</v>
      </c>
      <c r="D35" s="35">
        <v>1157240</v>
      </c>
      <c r="E35" s="36">
        <v>1157240</v>
      </c>
    </row>
    <row r="36" spans="1:5" x14ac:dyDescent="0.25">
      <c r="A36" s="34" t="s">
        <v>156</v>
      </c>
      <c r="B36" s="35">
        <v>1362501.51</v>
      </c>
      <c r="C36" s="35">
        <v>1930626</v>
      </c>
      <c r="D36" s="35">
        <v>1649426</v>
      </c>
      <c r="E36" s="36">
        <v>1649426</v>
      </c>
    </row>
    <row r="37" spans="1:5" ht="16.5" thickBot="1" x14ac:dyDescent="0.3">
      <c r="A37" s="37" t="s">
        <v>157</v>
      </c>
      <c r="B37" s="38">
        <v>12707974.380000001</v>
      </c>
      <c r="C37" s="38">
        <v>13894525</v>
      </c>
      <c r="D37" s="38">
        <v>16131025</v>
      </c>
      <c r="E37" s="39">
        <v>18426553</v>
      </c>
    </row>
    <row r="38" spans="1:5" ht="16.5" thickBot="1" x14ac:dyDescent="0.3">
      <c r="A38" s="157" t="s">
        <v>147</v>
      </c>
      <c r="B38" s="158">
        <f>SUM(B33:B37)</f>
        <v>41953839</v>
      </c>
      <c r="C38" s="158">
        <f>SUM(C33:C37)</f>
        <v>44119678</v>
      </c>
      <c r="D38" s="158">
        <f>SUM(D33:D37)</f>
        <v>46187737</v>
      </c>
      <c r="E38" s="159">
        <f>SUM(E33:E37)</f>
        <v>48594577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Fletët e punës</vt:lpstr>
      </vt:variant>
      <vt:variant>
        <vt:i4>6</vt:i4>
      </vt:variant>
    </vt:vector>
  </HeadingPairs>
  <TitlesOfParts>
    <vt:vector size="6" baseType="lpstr">
      <vt:lpstr>Paga &amp;Me</vt:lpstr>
      <vt:lpstr>M&amp;Sh</vt:lpstr>
      <vt:lpstr>Komunale</vt:lpstr>
      <vt:lpstr>Subvencione</vt:lpstr>
      <vt:lpstr>KAPITALET</vt:lpstr>
      <vt:lpstr>TOTALI 2027-2029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Hajrije Haxhijaj</cp:lastModifiedBy>
  <cp:lastPrinted>2026-09-23T08:27:34Z</cp:lastPrinted>
  <dcterms:created xsi:type="dcterms:W3CDTF">2017-06-13T08:22:07Z</dcterms:created>
  <dcterms:modified xsi:type="dcterms:W3CDTF">2026-09-23T11:15:17Z</dcterms:modified>
</cp:coreProperties>
</file>